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rading\"/>
    </mc:Choice>
  </mc:AlternateContent>
  <bookViews>
    <workbookView xWindow="0" yWindow="0" windowWidth="20490" windowHeight="9030" tabRatio="658"/>
  </bookViews>
  <sheets>
    <sheet name="ToBeRead" sheetId="45" r:id="rId1"/>
    <sheet name="Levers" sheetId="47" r:id="rId2"/>
    <sheet name="Trade journal" sheetId="2" r:id="rId3"/>
    <sheet name="Dashboard" sheetId="48" r:id="rId4"/>
    <sheet name="Pictoral view" sheetId="49" r:id="rId5"/>
    <sheet name="fo_mktlots" sheetId="44" r:id="rId6"/>
  </sheets>
  <definedNames>
    <definedName name="_xlnm._FilterDatabase" localSheetId="2" hidden="1">'Trade journal'!$A$3:$BE$499</definedName>
  </definedNames>
  <calcPr calcId="152511"/>
</workbook>
</file>

<file path=xl/calcChain.xml><?xml version="1.0" encoding="utf-8"?>
<calcChain xmlns="http://schemas.openxmlformats.org/spreadsheetml/2006/main">
  <c r="D43" i="48" l="1"/>
  <c r="D42" i="48"/>
  <c r="D41" i="48"/>
  <c r="D40" i="48"/>
  <c r="D35" i="48"/>
  <c r="D34" i="48"/>
  <c r="D33" i="48"/>
  <c r="D32" i="48"/>
  <c r="D31" i="48"/>
  <c r="F10" i="48"/>
  <c r="E10" i="48"/>
  <c r="D10" i="48"/>
  <c r="O4" i="48"/>
  <c r="H4" i="48"/>
  <c r="H5" i="48" s="1"/>
  <c r="H6" i="48" s="1"/>
  <c r="H7" i="48" s="1"/>
  <c r="H8" i="48" s="1"/>
  <c r="H9" i="48" s="1"/>
  <c r="H10" i="48" s="1"/>
  <c r="H11" i="48" s="1"/>
  <c r="H12" i="48" s="1"/>
  <c r="H13" i="48" s="1"/>
  <c r="H14" i="48" s="1"/>
  <c r="H15" i="48" s="1"/>
  <c r="H16" i="48" s="1"/>
  <c r="H17" i="48" s="1"/>
  <c r="H18" i="48" s="1"/>
  <c r="H19" i="48" s="1"/>
  <c r="H20" i="48" s="1"/>
  <c r="H21" i="48" s="1"/>
  <c r="H22" i="48" s="1"/>
  <c r="H23" i="48" s="1"/>
  <c r="H24" i="48" s="1"/>
  <c r="H25" i="48" s="1"/>
  <c r="H26" i="48" s="1"/>
  <c r="H27" i="48" s="1"/>
  <c r="H28" i="48" s="1"/>
  <c r="H29" i="48" s="1"/>
  <c r="H30" i="48" s="1"/>
  <c r="H31" i="48" s="1"/>
  <c r="H32" i="48" s="1"/>
  <c r="H33" i="48" s="1"/>
  <c r="H34" i="48" s="1"/>
  <c r="H35" i="48" s="1"/>
  <c r="H36" i="48" s="1"/>
  <c r="H37" i="48" s="1"/>
  <c r="H38" i="48" s="1"/>
  <c r="H39" i="48" s="1"/>
  <c r="H40" i="48" s="1"/>
  <c r="H41" i="48" s="1"/>
  <c r="H42" i="48" s="1"/>
  <c r="H43" i="48" s="1"/>
  <c r="H44" i="48" s="1"/>
  <c r="H45" i="48" s="1"/>
  <c r="H46" i="48" s="1"/>
  <c r="H47" i="48" s="1"/>
  <c r="H48" i="48" s="1"/>
  <c r="H49" i="48" s="1"/>
  <c r="H50" i="48" s="1"/>
  <c r="H51" i="48" s="1"/>
  <c r="H52" i="48" s="1"/>
  <c r="H53" i="48" s="1"/>
  <c r="H54" i="48" s="1"/>
  <c r="H55" i="48" s="1"/>
  <c r="H56" i="48" s="1"/>
  <c r="H57" i="48" s="1"/>
  <c r="H58" i="48" s="1"/>
  <c r="H59" i="48" s="1"/>
  <c r="H60" i="48" s="1"/>
  <c r="H61" i="48" s="1"/>
  <c r="H62" i="48" s="1"/>
  <c r="H63" i="48" s="1"/>
  <c r="H64" i="48" s="1"/>
  <c r="H65" i="48" s="1"/>
  <c r="D36" i="48" l="1"/>
  <c r="E35" i="48" s="1"/>
  <c r="D44" i="48"/>
  <c r="E43" i="48" s="1"/>
  <c r="E31" i="48" l="1"/>
  <c r="E41" i="48"/>
  <c r="E33" i="48"/>
  <c r="E40" i="48"/>
  <c r="E42" i="48"/>
  <c r="E32" i="48"/>
  <c r="E34" i="48"/>
  <c r="W54" i="2"/>
  <c r="W53" i="2"/>
  <c r="W52" i="2"/>
  <c r="W51" i="2"/>
  <c r="W50" i="2"/>
  <c r="W48" i="2"/>
  <c r="W47" i="2"/>
  <c r="W46" i="2"/>
  <c r="W45" i="2"/>
  <c r="W44" i="2"/>
  <c r="W43" i="2"/>
  <c r="W42" i="2"/>
  <c r="W40" i="2"/>
  <c r="W39" i="2"/>
  <c r="W38" i="2"/>
  <c r="W36" i="2"/>
  <c r="W35" i="2"/>
  <c r="W34" i="2"/>
  <c r="W33" i="2"/>
  <c r="W32" i="2"/>
  <c r="W31" i="2"/>
  <c r="W30" i="2"/>
  <c r="W28" i="2"/>
  <c r="W27" i="2"/>
  <c r="W26" i="2"/>
  <c r="W24" i="2"/>
  <c r="W23" i="2"/>
  <c r="W22" i="2"/>
  <c r="W21" i="2"/>
  <c r="W20" i="2"/>
  <c r="W19" i="2"/>
  <c r="W18" i="2"/>
  <c r="W16" i="2"/>
  <c r="W15" i="2"/>
  <c r="W14" i="2"/>
  <c r="W12" i="2"/>
  <c r="W11" i="2"/>
  <c r="W10" i="2"/>
  <c r="W9" i="2"/>
  <c r="W8" i="2"/>
  <c r="W7" i="2"/>
  <c r="W6" i="2"/>
  <c r="U13" i="2"/>
  <c r="W13" i="2" s="1"/>
  <c r="U49" i="2"/>
  <c r="W49" i="2" s="1"/>
  <c r="U37" i="2"/>
  <c r="W37" i="2" s="1"/>
  <c r="U25" i="2"/>
  <c r="W25" i="2" s="1"/>
  <c r="U41" i="2"/>
  <c r="W41" i="2" s="1"/>
  <c r="U5" i="2"/>
  <c r="A5" i="2"/>
  <c r="A6" i="2" s="1"/>
  <c r="AH54" i="2"/>
  <c r="AH53" i="2"/>
  <c r="AH52" i="2"/>
  <c r="AH51" i="2"/>
  <c r="AH50" i="2"/>
  <c r="AH49" i="2"/>
  <c r="AH48" i="2"/>
  <c r="AH40" i="2"/>
  <c r="AH39" i="2"/>
  <c r="AH38" i="2"/>
  <c r="AH37" i="2"/>
  <c r="AH36" i="2"/>
  <c r="AH28" i="2"/>
  <c r="AH27" i="2"/>
  <c r="AH26" i="2"/>
  <c r="AH25" i="2"/>
  <c r="AH24" i="2"/>
  <c r="AH16" i="2"/>
  <c r="AH15" i="2"/>
  <c r="AH14" i="2"/>
  <c r="AH13" i="2"/>
  <c r="AH12" i="2"/>
  <c r="AF4" i="2"/>
  <c r="O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0" i="2"/>
  <c r="O9" i="2"/>
  <c r="O8" i="2"/>
  <c r="O7" i="2"/>
  <c r="O6" i="2"/>
  <c r="O11" i="2"/>
  <c r="E36" i="48" l="1"/>
  <c r="E44" i="48"/>
  <c r="AE4" i="2"/>
  <c r="AH4" i="2" l="1"/>
  <c r="AG4" i="2"/>
  <c r="AL4" i="2"/>
  <c r="AJ4" i="2"/>
  <c r="AI4" i="2" l="1"/>
  <c r="AM4" i="2" s="1"/>
  <c r="I4" i="48" l="1"/>
  <c r="O5" i="48"/>
  <c r="O6" i="48" s="1"/>
  <c r="O7" i="48" s="1"/>
  <c r="O8" i="48" s="1"/>
  <c r="O9" i="48" s="1"/>
  <c r="O10" i="48" s="1"/>
  <c r="O11" i="48" s="1"/>
  <c r="O12" i="48" s="1"/>
  <c r="O13" i="48" s="1"/>
  <c r="O14" i="48" s="1"/>
  <c r="E5" i="2"/>
  <c r="U29" i="2"/>
  <c r="W29" i="2" s="1"/>
  <c r="U17" i="2"/>
  <c r="W17" i="2" s="1"/>
  <c r="AS21" i="2" l="1"/>
  <c r="Z21" i="2"/>
  <c r="AT21" i="2" s="1"/>
  <c r="Y21" i="2"/>
  <c r="X21" i="2"/>
  <c r="AS23" i="2"/>
  <c r="X23" i="2"/>
  <c r="Z23" i="2"/>
  <c r="AT23" i="2" s="1"/>
  <c r="Y23" i="2"/>
  <c r="AS25" i="2"/>
  <c r="Z25" i="2"/>
  <c r="AT25" i="2" s="1"/>
  <c r="Y25" i="2"/>
  <c r="X25" i="2"/>
  <c r="AS27" i="2"/>
  <c r="X27" i="2"/>
  <c r="Z27" i="2"/>
  <c r="AT27" i="2" s="1"/>
  <c r="Y27" i="2"/>
  <c r="AS30" i="2"/>
  <c r="Z30" i="2"/>
  <c r="AT30" i="2" s="1"/>
  <c r="Y30" i="2"/>
  <c r="X30" i="2"/>
  <c r="AS32" i="2"/>
  <c r="Y32" i="2"/>
  <c r="Z32" i="2"/>
  <c r="AT32" i="2" s="1"/>
  <c r="X32" i="2"/>
  <c r="AS34" i="2"/>
  <c r="Z34" i="2"/>
  <c r="AT34" i="2" s="1"/>
  <c r="Y34" i="2"/>
  <c r="X34" i="2"/>
  <c r="AS36" i="2"/>
  <c r="Y36" i="2"/>
  <c r="Z36" i="2"/>
  <c r="AT36" i="2" s="1"/>
  <c r="X36" i="2"/>
  <c r="AS38" i="2"/>
  <c r="Y38" i="2"/>
  <c r="X38" i="2"/>
  <c r="Z38" i="2"/>
  <c r="AT38" i="2" s="1"/>
  <c r="AS52" i="2"/>
  <c r="Z52" i="2"/>
  <c r="AT52" i="2" s="1"/>
  <c r="X52" i="2"/>
  <c r="Y52" i="2"/>
  <c r="AS16" i="2"/>
  <c r="Y16" i="2"/>
  <c r="Z16" i="2"/>
  <c r="AT16" i="2" s="1"/>
  <c r="X16" i="2"/>
  <c r="AS42" i="2"/>
  <c r="Y42" i="2"/>
  <c r="X42" i="2"/>
  <c r="Z42" i="2"/>
  <c r="AT42" i="2" s="1"/>
  <c r="AS44" i="2"/>
  <c r="X44" i="2"/>
  <c r="Z44" i="2"/>
  <c r="AT44" i="2" s="1"/>
  <c r="Y44" i="2"/>
  <c r="AS46" i="2"/>
  <c r="Y46" i="2"/>
  <c r="Z46" i="2"/>
  <c r="AT46" i="2" s="1"/>
  <c r="X46" i="2"/>
  <c r="AS48" i="2"/>
  <c r="Z48" i="2"/>
  <c r="AT48" i="2" s="1"/>
  <c r="Y48" i="2"/>
  <c r="X48" i="2"/>
  <c r="AS20" i="2"/>
  <c r="Y20" i="2"/>
  <c r="Z20" i="2"/>
  <c r="AT20" i="2" s="1"/>
  <c r="X20" i="2"/>
  <c r="AS22" i="2"/>
  <c r="Y22" i="2"/>
  <c r="X22" i="2"/>
  <c r="Z22" i="2"/>
  <c r="AT22" i="2" s="1"/>
  <c r="AS24" i="2"/>
  <c r="Y24" i="2"/>
  <c r="X24" i="2"/>
  <c r="Z24" i="2"/>
  <c r="AT24" i="2" s="1"/>
  <c r="AS26" i="2"/>
  <c r="X26" i="2"/>
  <c r="Z26" i="2"/>
  <c r="AT26" i="2" s="1"/>
  <c r="Y26" i="2"/>
  <c r="AS31" i="2"/>
  <c r="X31" i="2"/>
  <c r="Y31" i="2"/>
  <c r="Z31" i="2"/>
  <c r="AT31" i="2" s="1"/>
  <c r="AS33" i="2"/>
  <c r="Z33" i="2"/>
  <c r="AT33" i="2" s="1"/>
  <c r="X33" i="2"/>
  <c r="Y33" i="2"/>
  <c r="AS35" i="2"/>
  <c r="X35" i="2"/>
  <c r="Z35" i="2"/>
  <c r="AT35" i="2" s="1"/>
  <c r="Y35" i="2"/>
  <c r="AS37" i="2"/>
  <c r="Z37" i="2"/>
  <c r="AT37" i="2" s="1"/>
  <c r="Y37" i="2"/>
  <c r="X37" i="2"/>
  <c r="AS39" i="2"/>
  <c r="X39" i="2"/>
  <c r="Z39" i="2"/>
  <c r="AT39" i="2" s="1"/>
  <c r="Y39" i="2"/>
  <c r="AS51" i="2"/>
  <c r="Y51" i="2"/>
  <c r="Z51" i="2"/>
  <c r="AT51" i="2" s="1"/>
  <c r="X51" i="2"/>
  <c r="AS53" i="2"/>
  <c r="Z53" i="2"/>
  <c r="AT53" i="2" s="1"/>
  <c r="Y53" i="2"/>
  <c r="X53" i="2"/>
  <c r="AS28" i="2"/>
  <c r="Y28" i="2"/>
  <c r="Z28" i="2"/>
  <c r="AT28" i="2" s="1"/>
  <c r="X28" i="2"/>
  <c r="AS18" i="2"/>
  <c r="Z18" i="2"/>
  <c r="AT18" i="2" s="1"/>
  <c r="Y18" i="2"/>
  <c r="X18" i="2"/>
  <c r="AS19" i="2"/>
  <c r="X19" i="2"/>
  <c r="Z19" i="2"/>
  <c r="AT19" i="2" s="1"/>
  <c r="Y19" i="2"/>
  <c r="AS43" i="2"/>
  <c r="Z43" i="2"/>
  <c r="AT43" i="2" s="1"/>
  <c r="Y43" i="2"/>
  <c r="X43" i="2"/>
  <c r="AS45" i="2"/>
  <c r="X45" i="2"/>
  <c r="Z45" i="2"/>
  <c r="AT45" i="2" s="1"/>
  <c r="Y45" i="2"/>
  <c r="AS47" i="2"/>
  <c r="Z47" i="2"/>
  <c r="AT47" i="2" s="1"/>
  <c r="Y47" i="2"/>
  <c r="X47" i="2"/>
  <c r="AS49" i="2"/>
  <c r="X49" i="2"/>
  <c r="Y49" i="2"/>
  <c r="Z49" i="2"/>
  <c r="AT49" i="2" s="1"/>
  <c r="AS41" i="2"/>
  <c r="Z41" i="2"/>
  <c r="AT41" i="2" s="1"/>
  <c r="Y41" i="2"/>
  <c r="X41" i="2"/>
  <c r="AS50" i="2"/>
  <c r="X50" i="2"/>
  <c r="Z50" i="2"/>
  <c r="AT50" i="2" s="1"/>
  <c r="Y50" i="2"/>
  <c r="AS40" i="2"/>
  <c r="Z40" i="2"/>
  <c r="AT40" i="2" s="1"/>
  <c r="Y40" i="2"/>
  <c r="X40" i="2"/>
  <c r="AS54" i="2"/>
  <c r="X54" i="2"/>
  <c r="Z54" i="2"/>
  <c r="AT54" i="2" s="1"/>
  <c r="Y54" i="2"/>
  <c r="C6" i="2"/>
  <c r="D5" i="2"/>
  <c r="W5" i="2"/>
  <c r="AU49" i="2" l="1"/>
  <c r="AU31" i="2"/>
  <c r="AU24" i="2"/>
  <c r="AU22" i="2"/>
  <c r="AU42" i="2"/>
  <c r="AU38" i="2"/>
  <c r="AU54" i="2"/>
  <c r="AU50" i="2"/>
  <c r="AU45" i="2"/>
  <c r="AU19" i="2"/>
  <c r="AU28" i="2"/>
  <c r="AU51" i="2"/>
  <c r="AU39" i="2"/>
  <c r="AU35" i="2"/>
  <c r="AU26" i="2"/>
  <c r="AU20" i="2"/>
  <c r="AU46" i="2"/>
  <c r="AU44" i="2"/>
  <c r="AU16" i="2"/>
  <c r="AU36" i="2"/>
  <c r="AU32" i="2"/>
  <c r="AU27" i="2"/>
  <c r="AU23" i="2"/>
  <c r="AU40" i="2"/>
  <c r="AU41" i="2"/>
  <c r="AU47" i="2"/>
  <c r="AU43" i="2"/>
  <c r="AU18" i="2"/>
  <c r="AU53" i="2"/>
  <c r="AU37" i="2"/>
  <c r="AU33" i="2"/>
  <c r="AU48" i="2"/>
  <c r="AU52" i="2"/>
  <c r="AU34" i="2"/>
  <c r="AU30" i="2"/>
  <c r="AU25" i="2"/>
  <c r="AU21" i="2"/>
  <c r="AS8" i="2"/>
  <c r="Y8" i="2"/>
  <c r="X8" i="2"/>
  <c r="Z8" i="2"/>
  <c r="AT8" i="2" s="1"/>
  <c r="AS12" i="2"/>
  <c r="Y12" i="2"/>
  <c r="Z12" i="2"/>
  <c r="AT12" i="2" s="1"/>
  <c r="X12" i="2"/>
  <c r="AS9" i="2"/>
  <c r="Z9" i="2"/>
  <c r="AT9" i="2" s="1"/>
  <c r="Y9" i="2"/>
  <c r="X9" i="2"/>
  <c r="AS13" i="2"/>
  <c r="Z13" i="2"/>
  <c r="AT13" i="2" s="1"/>
  <c r="AU13" i="2" s="1"/>
  <c r="Y13" i="2"/>
  <c r="X13" i="2"/>
  <c r="AS29" i="2"/>
  <c r="Z29" i="2"/>
  <c r="AT29" i="2" s="1"/>
  <c r="Y29" i="2"/>
  <c r="X29" i="2"/>
  <c r="AS6" i="2"/>
  <c r="Y6" i="2"/>
  <c r="X6" i="2"/>
  <c r="Z6" i="2"/>
  <c r="AT6" i="2" s="1"/>
  <c r="AS10" i="2"/>
  <c r="X10" i="2"/>
  <c r="Z10" i="2"/>
  <c r="AT10" i="2" s="1"/>
  <c r="Y10" i="2"/>
  <c r="AS14" i="2"/>
  <c r="Z14" i="2"/>
  <c r="AT14" i="2" s="1"/>
  <c r="Y14" i="2"/>
  <c r="X14" i="2"/>
  <c r="AS7" i="2"/>
  <c r="X7" i="2"/>
  <c r="Z7" i="2"/>
  <c r="AT7" i="2" s="1"/>
  <c r="Y7" i="2"/>
  <c r="AS11" i="2"/>
  <c r="X11" i="2"/>
  <c r="Z11" i="2"/>
  <c r="AT11" i="2" s="1"/>
  <c r="Y11" i="2"/>
  <c r="AS15" i="2"/>
  <c r="X15" i="2"/>
  <c r="Y15" i="2"/>
  <c r="Z15" i="2"/>
  <c r="AT15" i="2" s="1"/>
  <c r="AS17" i="2"/>
  <c r="Z17" i="2"/>
  <c r="AT17" i="2" s="1"/>
  <c r="X17" i="2"/>
  <c r="Y17" i="2"/>
  <c r="AS5" i="2"/>
  <c r="Z5" i="2"/>
  <c r="AT5" i="2" s="1"/>
  <c r="Y5" i="2"/>
  <c r="X5" i="2"/>
  <c r="I6" i="48"/>
  <c r="I7" i="48"/>
  <c r="E6" i="2"/>
  <c r="C7" i="2"/>
  <c r="C8" i="2" s="1"/>
  <c r="D6" i="2"/>
  <c r="I5" i="48"/>
  <c r="AU11" i="2" l="1"/>
  <c r="AU7" i="2"/>
  <c r="AU10" i="2"/>
  <c r="AU12" i="2"/>
  <c r="AU15" i="2"/>
  <c r="AU6" i="2"/>
  <c r="AU8" i="2"/>
  <c r="AU5" i="2"/>
  <c r="AU17" i="2"/>
  <c r="AU14" i="2"/>
  <c r="AU29" i="2"/>
  <c r="AU9" i="2"/>
  <c r="V5" i="2"/>
  <c r="V6" i="2"/>
  <c r="F5" i="2"/>
  <c r="I8" i="48" l="1"/>
  <c r="F6" i="2"/>
  <c r="I9" i="48" l="1"/>
  <c r="V7" i="2"/>
  <c r="D7" i="2"/>
  <c r="E7" i="2"/>
  <c r="F7" i="2"/>
  <c r="I10" i="48" l="1"/>
  <c r="E8" i="2"/>
  <c r="D8" i="2"/>
  <c r="F8" i="2"/>
  <c r="C9" i="2"/>
  <c r="I11" i="48" l="1"/>
  <c r="V8" i="2"/>
  <c r="D9" i="2"/>
  <c r="E9" i="2"/>
  <c r="F9" i="2"/>
  <c r="C10" i="2"/>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J11" i="48" l="1"/>
  <c r="I12" i="48"/>
  <c r="L12" i="48"/>
  <c r="D54" i="2"/>
  <c r="E54" i="2"/>
  <c r="V54" i="2"/>
  <c r="F54" i="2"/>
  <c r="E10" i="2"/>
  <c r="D10" i="2"/>
  <c r="V9" i="2"/>
  <c r="F10" i="2"/>
  <c r="I13" i="48" l="1"/>
  <c r="D11" i="2"/>
  <c r="E11" i="2"/>
  <c r="V10" i="2"/>
  <c r="F11" i="2"/>
  <c r="I14" i="48" l="1"/>
  <c r="V13" i="2"/>
  <c r="E12" i="2"/>
  <c r="D12" i="2"/>
  <c r="V11" i="2"/>
  <c r="V12" i="2"/>
  <c r="F12" i="2"/>
  <c r="I15" i="48" l="1"/>
  <c r="D13" i="2"/>
  <c r="E13" i="2"/>
  <c r="F13" i="2"/>
  <c r="V14" i="2"/>
  <c r="K16" i="48" l="1"/>
  <c r="I16" i="48"/>
  <c r="E14" i="2"/>
  <c r="D14" i="2"/>
  <c r="F14" i="2"/>
  <c r="L17" i="48" l="1"/>
  <c r="I17" i="48"/>
  <c r="D15" i="2"/>
  <c r="E15" i="2"/>
  <c r="V15" i="2"/>
  <c r="F15" i="2"/>
  <c r="I18" i="48" l="1"/>
  <c r="E16" i="2"/>
  <c r="D16" i="2"/>
  <c r="F16" i="2"/>
  <c r="V16" i="2"/>
  <c r="I19" i="48" l="1"/>
  <c r="J19" i="48"/>
  <c r="D17" i="2"/>
  <c r="E17" i="2"/>
  <c r="V17" i="2"/>
  <c r="F17" i="2"/>
  <c r="I20" i="48" l="1"/>
  <c r="E18" i="2"/>
  <c r="D18" i="2"/>
  <c r="F18" i="2"/>
  <c r="V18" i="2"/>
  <c r="L21" i="48" l="1"/>
  <c r="I21" i="48"/>
  <c r="D19" i="2"/>
  <c r="E19" i="2"/>
  <c r="F19" i="2"/>
  <c r="V19" i="2"/>
  <c r="J22" i="48" l="1"/>
  <c r="I22" i="48"/>
  <c r="E20" i="2"/>
  <c r="D20" i="2"/>
  <c r="F20" i="2"/>
  <c r="J23" i="48" l="1"/>
  <c r="I23" i="48"/>
  <c r="D21" i="2"/>
  <c r="E21" i="2"/>
  <c r="V20" i="2"/>
  <c r="F21" i="2"/>
  <c r="I24" i="48" l="1"/>
  <c r="E22" i="2"/>
  <c r="D22" i="2"/>
  <c r="F22" i="2"/>
  <c r="V21" i="2"/>
  <c r="I25" i="48" l="1"/>
  <c r="D23" i="2"/>
  <c r="E23" i="2"/>
  <c r="F23" i="2"/>
  <c r="V22" i="2"/>
  <c r="J26" i="48" l="1"/>
  <c r="I26" i="48"/>
  <c r="E24" i="2"/>
  <c r="D24" i="2"/>
  <c r="V23" i="2"/>
  <c r="F24" i="2"/>
  <c r="V24" i="2"/>
  <c r="I27" i="48" l="1"/>
  <c r="D25" i="2"/>
  <c r="E25" i="2"/>
  <c r="F25" i="2"/>
  <c r="V25" i="2"/>
  <c r="I28" i="48" l="1"/>
  <c r="E26" i="2"/>
  <c r="D26" i="2"/>
  <c r="V26" i="2"/>
  <c r="F26" i="2"/>
  <c r="I29" i="48" l="1"/>
  <c r="L29" i="48"/>
  <c r="D27" i="2"/>
  <c r="E27" i="2"/>
  <c r="F27" i="2"/>
  <c r="V27" i="2"/>
  <c r="I30" i="48" l="1"/>
  <c r="E28" i="2"/>
  <c r="D28" i="2"/>
  <c r="V28" i="2"/>
  <c r="F28" i="2"/>
  <c r="K31" i="48" l="1"/>
  <c r="I31" i="48"/>
  <c r="D29" i="2"/>
  <c r="E29" i="2"/>
  <c r="V29" i="2"/>
  <c r="F29" i="2"/>
  <c r="L32" i="48" l="1"/>
  <c r="I32" i="48"/>
  <c r="E30" i="2"/>
  <c r="D30" i="2"/>
  <c r="V30" i="2"/>
  <c r="F30" i="2"/>
  <c r="L33" i="48" l="1"/>
  <c r="I33" i="48"/>
  <c r="D31" i="2"/>
  <c r="E31" i="2"/>
  <c r="F31" i="2"/>
  <c r="V31" i="2"/>
  <c r="J34" i="48" l="1"/>
  <c r="I34" i="48"/>
  <c r="E32" i="2"/>
  <c r="D32" i="2"/>
  <c r="F32" i="2"/>
  <c r="J35" i="48" l="1"/>
  <c r="K35" i="48"/>
  <c r="I35" i="48"/>
  <c r="D33" i="2"/>
  <c r="E33" i="2"/>
  <c r="F33" i="2"/>
  <c r="V32" i="2"/>
  <c r="I36" i="48" l="1"/>
  <c r="K36" i="48"/>
  <c r="J36" i="48"/>
  <c r="L36" i="48"/>
  <c r="E34" i="2"/>
  <c r="D34" i="2"/>
  <c r="F34" i="2"/>
  <c r="V33" i="2"/>
  <c r="M36" i="48" l="1"/>
  <c r="L37" i="48"/>
  <c r="I37" i="48"/>
  <c r="K37" i="48"/>
  <c r="J37" i="48"/>
  <c r="D35" i="2"/>
  <c r="E35" i="2"/>
  <c r="V34" i="2"/>
  <c r="F35" i="2"/>
  <c r="I38" i="48" l="1"/>
  <c r="L38" i="48"/>
  <c r="K38" i="48"/>
  <c r="J38" i="48"/>
  <c r="M37" i="48"/>
  <c r="E36" i="2"/>
  <c r="D36" i="2"/>
  <c r="F36" i="2"/>
  <c r="V36" i="2"/>
  <c r="V35" i="2"/>
  <c r="K39" i="48" l="1"/>
  <c r="L39" i="48"/>
  <c r="J39" i="48"/>
  <c r="I39" i="48"/>
  <c r="M38" i="48"/>
  <c r="D37" i="2"/>
  <c r="E37" i="2"/>
  <c r="V37" i="2"/>
  <c r="F37" i="2"/>
  <c r="J40" i="48" l="1"/>
  <c r="K40" i="48"/>
  <c r="L40" i="48"/>
  <c r="I40" i="48"/>
  <c r="M39" i="48"/>
  <c r="E38" i="2"/>
  <c r="D38" i="2"/>
  <c r="V38" i="2"/>
  <c r="F38" i="2"/>
  <c r="K41" i="48" l="1"/>
  <c r="L41" i="48"/>
  <c r="I41" i="48"/>
  <c r="J41" i="48"/>
  <c r="M40" i="48"/>
  <c r="D39" i="2"/>
  <c r="E39" i="2"/>
  <c r="V39" i="2"/>
  <c r="F39" i="2"/>
  <c r="M41" i="48" l="1"/>
  <c r="J42" i="48"/>
  <c r="K42" i="48"/>
  <c r="I42" i="48"/>
  <c r="L42" i="48"/>
  <c r="E40" i="2"/>
  <c r="D40" i="2"/>
  <c r="F40" i="2"/>
  <c r="V40" i="2"/>
  <c r="M42" i="48" l="1"/>
  <c r="K43" i="48"/>
  <c r="L43" i="48"/>
  <c r="I43" i="48"/>
  <c r="J43" i="48"/>
  <c r="D41" i="2"/>
  <c r="E41" i="2"/>
  <c r="F41" i="2"/>
  <c r="V41" i="2"/>
  <c r="L44" i="48" l="1"/>
  <c r="K44" i="48"/>
  <c r="I44" i="48"/>
  <c r="J44" i="48"/>
  <c r="M43" i="48"/>
  <c r="E42" i="2"/>
  <c r="D42" i="2"/>
  <c r="F42" i="2"/>
  <c r="V42" i="2"/>
  <c r="M44" i="48" l="1"/>
  <c r="J45" i="48"/>
  <c r="L45" i="48"/>
  <c r="K45" i="48"/>
  <c r="I45" i="48"/>
  <c r="D43" i="2"/>
  <c r="E43" i="2"/>
  <c r="F43" i="2"/>
  <c r="V43" i="2"/>
  <c r="M45" i="48" l="1"/>
  <c r="J46" i="48"/>
  <c r="K46" i="48"/>
  <c r="I46" i="48"/>
  <c r="L46" i="48"/>
  <c r="E44" i="2"/>
  <c r="D44" i="2"/>
  <c r="F44" i="2"/>
  <c r="M46" i="48" l="1"/>
  <c r="L47" i="48"/>
  <c r="K47" i="48"/>
  <c r="J47" i="48"/>
  <c r="I47" i="48"/>
  <c r="D45" i="2"/>
  <c r="E45" i="2"/>
  <c r="F45" i="2"/>
  <c r="V44" i="2"/>
  <c r="L48" i="48" l="1"/>
  <c r="K48" i="48"/>
  <c r="J48" i="48"/>
  <c r="I48" i="48"/>
  <c r="M47" i="48"/>
  <c r="E46" i="2"/>
  <c r="D46" i="2"/>
  <c r="F46" i="2"/>
  <c r="V45" i="2"/>
  <c r="K49" i="48" l="1"/>
  <c r="J49" i="48"/>
  <c r="L49" i="48"/>
  <c r="I49" i="48"/>
  <c r="M48" i="48"/>
  <c r="D47" i="2"/>
  <c r="E47" i="2"/>
  <c r="F47" i="2"/>
  <c r="V46" i="2"/>
  <c r="M49" i="48" l="1"/>
  <c r="J50" i="48"/>
  <c r="K50" i="48"/>
  <c r="I50" i="48"/>
  <c r="L50" i="48"/>
  <c r="E48" i="2"/>
  <c r="D48" i="2"/>
  <c r="V48" i="2"/>
  <c r="F48" i="2"/>
  <c r="V47" i="2"/>
  <c r="M50" i="48" l="1"/>
  <c r="K51" i="48"/>
  <c r="J51" i="48"/>
  <c r="I51" i="48"/>
  <c r="L51" i="48"/>
  <c r="D49" i="2"/>
  <c r="E49" i="2"/>
  <c r="V49" i="2"/>
  <c r="F49" i="2"/>
  <c r="M51" i="48" l="1"/>
  <c r="L52" i="48"/>
  <c r="K52" i="48"/>
  <c r="J52" i="48"/>
  <c r="I52" i="48"/>
  <c r="E50" i="2"/>
  <c r="D50" i="2"/>
  <c r="F50" i="2"/>
  <c r="V50" i="2"/>
  <c r="J53" i="48" l="1"/>
  <c r="L53" i="48"/>
  <c r="K53" i="48"/>
  <c r="I53" i="48"/>
  <c r="M52" i="48"/>
  <c r="D51" i="2"/>
  <c r="E51" i="2"/>
  <c r="F51" i="2"/>
  <c r="V51" i="2"/>
  <c r="I54" i="48" l="1"/>
  <c r="J54" i="48"/>
  <c r="L54" i="48"/>
  <c r="K54" i="48"/>
  <c r="M53" i="48"/>
  <c r="E52" i="2"/>
  <c r="D52" i="2"/>
  <c r="F52" i="2"/>
  <c r="V52" i="2"/>
  <c r="M54" i="48" l="1"/>
  <c r="K55" i="48"/>
  <c r="L55" i="48"/>
  <c r="I55" i="48"/>
  <c r="J55" i="48"/>
  <c r="D53" i="2"/>
  <c r="E53" i="2"/>
  <c r="F53" i="2"/>
  <c r="V53" i="2"/>
  <c r="L56" i="48" l="1"/>
  <c r="K56" i="48"/>
  <c r="J56" i="48"/>
  <c r="I56" i="48"/>
  <c r="M55" i="48"/>
  <c r="Q12" i="48"/>
  <c r="Q11" i="48"/>
  <c r="P13" i="48"/>
  <c r="R14" i="48"/>
  <c r="P11" i="48"/>
  <c r="P14" i="48"/>
  <c r="Q14" i="48"/>
  <c r="Q13" i="48"/>
  <c r="P12" i="48"/>
  <c r="R13" i="48"/>
  <c r="R12" i="48"/>
  <c r="V6" i="48"/>
  <c r="W6" i="48"/>
  <c r="X6" i="48"/>
  <c r="S13" i="48" l="1"/>
  <c r="S14" i="48"/>
  <c r="M56" i="48"/>
  <c r="S12" i="48"/>
  <c r="J57" i="48"/>
  <c r="L57" i="48"/>
  <c r="I57" i="48"/>
  <c r="K57" i="48"/>
  <c r="Y6" i="48"/>
  <c r="L58" i="48" l="1"/>
  <c r="I58" i="48"/>
  <c r="K58" i="48"/>
  <c r="J58" i="48"/>
  <c r="M57" i="48"/>
  <c r="M58" i="48" l="1"/>
  <c r="L59" i="48"/>
  <c r="J59" i="48"/>
  <c r="K59" i="48"/>
  <c r="I59" i="48"/>
  <c r="M59" i="48" l="1"/>
  <c r="J60" i="48"/>
  <c r="K60" i="48"/>
  <c r="L60" i="48"/>
  <c r="I60" i="48"/>
  <c r="J61" i="48" l="1"/>
  <c r="L61" i="48"/>
  <c r="K61" i="48"/>
  <c r="I61" i="48"/>
  <c r="M60" i="48"/>
  <c r="L62" i="48" l="1"/>
  <c r="I62" i="48"/>
  <c r="K62" i="48"/>
  <c r="J62" i="48"/>
  <c r="M61" i="48"/>
  <c r="M62" i="48" l="1"/>
  <c r="K63" i="48"/>
  <c r="L63" i="48"/>
  <c r="J63" i="48"/>
  <c r="I63" i="48"/>
  <c r="J64" i="48" l="1"/>
  <c r="I64" i="48"/>
  <c r="K64" i="48"/>
  <c r="L64" i="48"/>
  <c r="M63" i="48"/>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K65" i="48" l="1"/>
  <c r="I65" i="48"/>
  <c r="L65" i="48"/>
  <c r="J65" i="48"/>
  <c r="M64" i="48"/>
  <c r="M65" i="48" l="1"/>
  <c r="P4" i="48" l="1"/>
  <c r="Q5" i="2" l="1"/>
  <c r="R5" i="2" s="1"/>
  <c r="AE5" i="2" l="1"/>
  <c r="AF5" i="2"/>
  <c r="AD5" i="2"/>
  <c r="AG5" i="2" l="1"/>
  <c r="AL5" i="2"/>
  <c r="AH5" i="2"/>
  <c r="AJ5" i="2"/>
  <c r="S5" i="2"/>
  <c r="T5" i="2" s="1"/>
  <c r="AI5" i="2" l="1"/>
  <c r="AM5" i="2" s="1"/>
  <c r="AN5" i="2" s="1"/>
  <c r="Q4" i="48" l="1"/>
  <c r="AO5" i="2"/>
  <c r="Q6" i="2" s="1"/>
  <c r="R6" i="2" l="1"/>
  <c r="AD6" i="2"/>
  <c r="AF6" i="2" l="1"/>
  <c r="AE6" i="2"/>
  <c r="S6" i="2"/>
  <c r="T6" i="2" s="1"/>
  <c r="AL6" i="2" l="1"/>
  <c r="AJ6" i="2"/>
  <c r="AH6" i="2"/>
  <c r="AG6" i="2"/>
  <c r="AI6" i="2" l="1"/>
  <c r="AM6" i="2" s="1"/>
  <c r="AN6" i="2" s="1"/>
  <c r="AO6" i="2" l="1"/>
  <c r="R4" i="48"/>
  <c r="S4" i="48" s="1"/>
  <c r="L5" i="48"/>
  <c r="Q7" i="2"/>
  <c r="AD7" i="2" l="1"/>
  <c r="R7" i="2"/>
  <c r="AE7" i="2" l="1"/>
  <c r="AF7" i="2"/>
  <c r="S7" i="2"/>
  <c r="T7" i="2" s="1"/>
  <c r="AH7" i="2" l="1"/>
  <c r="AL7" i="2"/>
  <c r="AJ7" i="2"/>
  <c r="AG7" i="2"/>
  <c r="AI7" i="2" l="1"/>
  <c r="AM7" i="2" s="1"/>
  <c r="AN7" i="2" s="1"/>
  <c r="J5" i="48" s="1"/>
  <c r="J6" i="48" l="1"/>
  <c r="AO7" i="2"/>
  <c r="Q8" i="2"/>
  <c r="R8" i="2" s="1"/>
  <c r="AE8" i="2" l="1"/>
  <c r="AG8" i="2" s="1"/>
  <c r="AD8" i="2"/>
  <c r="AJ8" i="2" l="1"/>
  <c r="AL8" i="2"/>
  <c r="AH8" i="2"/>
  <c r="AI8" i="2" s="1"/>
  <c r="AF8" i="2"/>
  <c r="S8" i="2"/>
  <c r="T8" i="2" s="1"/>
  <c r="AM8" i="2" l="1"/>
  <c r="AN8" i="2" s="1"/>
  <c r="K5" i="48" s="1"/>
  <c r="M5" i="48" s="1"/>
  <c r="K6" i="48" l="1"/>
  <c r="AO8" i="2"/>
  <c r="Q9" i="2" l="1"/>
  <c r="R9" i="2" l="1"/>
  <c r="AD9" i="2"/>
  <c r="AF9" i="2" l="1"/>
  <c r="AE9" i="2"/>
  <c r="S9" i="2"/>
  <c r="T9" i="2" s="1"/>
  <c r="AH9" i="2" l="1"/>
  <c r="AL9" i="2"/>
  <c r="AG9" i="2"/>
  <c r="AJ9" i="2"/>
  <c r="AI9" i="2" l="1"/>
  <c r="AM9" i="2" s="1"/>
  <c r="AN9" i="2" s="1"/>
  <c r="L7" i="48" l="1"/>
  <c r="L6" i="48"/>
  <c r="M6" i="48" s="1"/>
  <c r="AO9" i="2"/>
  <c r="Q10" i="2"/>
  <c r="AD10" i="2" l="1"/>
  <c r="R10" i="2"/>
  <c r="AE10" i="2" s="1"/>
  <c r="AH10" i="2" l="1"/>
  <c r="AL10" i="2"/>
  <c r="AG10" i="2"/>
  <c r="AF10" i="2"/>
  <c r="AJ10" i="2"/>
  <c r="S10" i="2"/>
  <c r="T10" i="2" s="1"/>
  <c r="AI10" i="2" l="1"/>
  <c r="AM10" i="2" s="1"/>
  <c r="AN10" i="2" s="1"/>
  <c r="J7" i="48" s="1"/>
  <c r="J8" i="48" l="1"/>
  <c r="AO10" i="2"/>
  <c r="Q11" i="2" l="1"/>
  <c r="AD11" i="2" l="1"/>
  <c r="R11" i="2"/>
  <c r="AE11" i="2" s="1"/>
  <c r="AH11" i="2" l="1"/>
  <c r="AJ11" i="2"/>
  <c r="AF11" i="2"/>
  <c r="AL11" i="2"/>
  <c r="AG11" i="2"/>
  <c r="S11" i="2"/>
  <c r="T11" i="2" s="1"/>
  <c r="AI11" i="2" l="1"/>
  <c r="AM11" i="2" s="1"/>
  <c r="AN11" i="2" s="1"/>
  <c r="K7" i="48" s="1"/>
  <c r="M7" i="48" s="1"/>
  <c r="K8" i="48" l="1"/>
  <c r="AO11" i="2"/>
  <c r="Q12" i="2" l="1"/>
  <c r="R12" i="2" l="1"/>
  <c r="AD12" i="2"/>
  <c r="AF12" i="2" l="1"/>
  <c r="AE12" i="2"/>
  <c r="S12" i="2"/>
  <c r="T12" i="2" s="1"/>
  <c r="AG12" i="2" l="1"/>
  <c r="AI12" i="2" s="1"/>
  <c r="AL12" i="2"/>
  <c r="AJ12" i="2"/>
  <c r="AM12" i="2" l="1"/>
  <c r="AN12" i="2" s="1"/>
  <c r="Q13" i="2"/>
  <c r="L9" i="48" l="1"/>
  <c r="L8" i="48"/>
  <c r="M8" i="48" s="1"/>
  <c r="AO12" i="2"/>
  <c r="R5" i="48"/>
  <c r="AD13" i="2"/>
  <c r="R13" i="2"/>
  <c r="AE13" i="2" l="1"/>
  <c r="AF13" i="2"/>
  <c r="S13" i="2"/>
  <c r="T13" i="2" s="1"/>
  <c r="AJ13" i="2" l="1"/>
  <c r="AL13" i="2"/>
  <c r="AG13" i="2"/>
  <c r="AI13" i="2" s="1"/>
  <c r="AM13" i="2" l="1"/>
  <c r="AN13" i="2" s="1"/>
  <c r="P5" i="48" s="1"/>
  <c r="J10" i="48" l="1"/>
  <c r="J9" i="48"/>
  <c r="AO13" i="2"/>
  <c r="Q14" i="2"/>
  <c r="AD14" i="2" l="1"/>
  <c r="R14" i="2"/>
  <c r="AF14" i="2" l="1"/>
  <c r="AE14" i="2"/>
  <c r="S14" i="2"/>
  <c r="T14" i="2" s="1"/>
  <c r="AL14" i="2" l="1"/>
  <c r="AG14" i="2"/>
  <c r="AI14" i="2" s="1"/>
  <c r="AJ14" i="2"/>
  <c r="AM14" i="2" l="1"/>
  <c r="AN14" i="2" s="1"/>
  <c r="Q5" i="48" s="1"/>
  <c r="S5" i="48" s="1"/>
  <c r="Q15" i="2"/>
  <c r="K10" i="48" l="1"/>
  <c r="K9" i="48"/>
  <c r="M9" i="48" s="1"/>
  <c r="AO14" i="2"/>
  <c r="AD15" i="2"/>
  <c r="R15" i="2"/>
  <c r="AE15" i="2" l="1"/>
  <c r="AF15" i="2"/>
  <c r="S15" i="2"/>
  <c r="T15" i="2" s="1"/>
  <c r="AG15" i="2" l="1"/>
  <c r="AI15" i="2" s="1"/>
  <c r="AJ15" i="2"/>
  <c r="AL15" i="2"/>
  <c r="AM15" i="2" l="1"/>
  <c r="AN15" i="2" s="1"/>
  <c r="AO15" i="2" l="1"/>
  <c r="Q16" i="2"/>
  <c r="R16" i="2" l="1"/>
  <c r="AD16" i="2"/>
  <c r="AF16" i="2" l="1"/>
  <c r="AE16" i="2"/>
  <c r="S16" i="2"/>
  <c r="T16" i="2" s="1"/>
  <c r="AL16" i="2" l="1"/>
  <c r="AG16" i="2"/>
  <c r="AI16" i="2" s="1"/>
  <c r="AJ16" i="2"/>
  <c r="AM16" i="2" l="1"/>
  <c r="AN16" i="2" s="1"/>
  <c r="L11" i="48" l="1"/>
  <c r="L10" i="48"/>
  <c r="M10" i="48" s="1"/>
  <c r="AO16" i="2"/>
  <c r="Q17" i="2"/>
  <c r="R17" i="2" l="1"/>
  <c r="AD17" i="2"/>
  <c r="AF17" i="2" l="1"/>
  <c r="AE17" i="2"/>
  <c r="S17" i="2"/>
  <c r="T17" i="2" s="1"/>
  <c r="AH17" i="2" l="1"/>
  <c r="AG17" i="2"/>
  <c r="AJ17" i="2"/>
  <c r="AL17" i="2"/>
  <c r="AI17" i="2" l="1"/>
  <c r="AM17" i="2" s="1"/>
  <c r="AN17" i="2" s="1"/>
  <c r="K11" i="48" s="1"/>
  <c r="M11" i="48" s="1"/>
  <c r="Q18" i="2"/>
  <c r="AO17" i="2" l="1"/>
  <c r="R18" i="2"/>
  <c r="AD18" i="2"/>
  <c r="AE18" i="2" l="1"/>
  <c r="AF18" i="2"/>
  <c r="S18" i="2"/>
  <c r="T18" i="2" s="1"/>
  <c r="AL18" i="2" l="1"/>
  <c r="AH18" i="2"/>
  <c r="AJ18" i="2"/>
  <c r="AG18" i="2"/>
  <c r="AI18" i="2" l="1"/>
  <c r="AM18" i="2" s="1"/>
  <c r="AN18" i="2" s="1"/>
  <c r="J13" i="48" l="1"/>
  <c r="J12" i="48"/>
  <c r="AO18" i="2"/>
  <c r="Q19" i="2"/>
  <c r="R19" i="2" l="1"/>
  <c r="AD19" i="2"/>
  <c r="AE19" i="2" l="1"/>
  <c r="AF19" i="2"/>
  <c r="S19" i="2"/>
  <c r="T19" i="2" s="1"/>
  <c r="AH19" i="2" l="1"/>
  <c r="AG19" i="2"/>
  <c r="AJ19" i="2"/>
  <c r="AL19" i="2"/>
  <c r="AI19" i="2" l="1"/>
  <c r="AM19" i="2" s="1"/>
  <c r="AN19" i="2" s="1"/>
  <c r="Q20" i="2"/>
  <c r="K13" i="48" l="1"/>
  <c r="K12" i="48"/>
  <c r="M12" i="48" s="1"/>
  <c r="AO19" i="2"/>
  <c r="R20" i="2"/>
  <c r="AE20" i="2" s="1"/>
  <c r="AD20" i="2"/>
  <c r="AJ20" i="2" l="1"/>
  <c r="AG20" i="2"/>
  <c r="AL20" i="2"/>
  <c r="AF20" i="2"/>
  <c r="AH20" i="2"/>
  <c r="S20" i="2"/>
  <c r="T20" i="2" s="1"/>
  <c r="AI20" i="2" l="1"/>
  <c r="AM20" i="2" s="1"/>
  <c r="AN20" i="2" s="1"/>
  <c r="L13" i="48" s="1"/>
  <c r="M13" i="48" s="1"/>
  <c r="L4" i="48"/>
  <c r="K4" i="48"/>
  <c r="J4" i="48"/>
  <c r="L14" i="48" l="1"/>
  <c r="R6" i="48"/>
  <c r="AO20" i="2"/>
  <c r="M4" i="48"/>
  <c r="Q21" i="2" l="1"/>
  <c r="R21" i="2" l="1"/>
  <c r="AE21" i="2" s="1"/>
  <c r="AD21" i="2"/>
  <c r="AH21" i="2" l="1"/>
  <c r="AG21" i="2"/>
  <c r="AL21" i="2"/>
  <c r="AJ21" i="2"/>
  <c r="AF21" i="2"/>
  <c r="S21" i="2"/>
  <c r="T21" i="2" s="1"/>
  <c r="AI21" i="2" l="1"/>
  <c r="AM21" i="2" s="1"/>
  <c r="AN21" i="2" s="1"/>
  <c r="J14" i="48" s="1"/>
  <c r="J15" i="48" l="1"/>
  <c r="P6" i="48"/>
  <c r="AO21" i="2"/>
  <c r="Q22" i="2" l="1"/>
  <c r="R22" i="2" l="1"/>
  <c r="AE22" i="2" s="1"/>
  <c r="AD22" i="2"/>
  <c r="AJ22" i="2" l="1"/>
  <c r="AG22" i="2"/>
  <c r="AL22" i="2"/>
  <c r="AF22" i="2"/>
  <c r="AH22" i="2"/>
  <c r="S22" i="2"/>
  <c r="T22" i="2" s="1"/>
  <c r="AI22" i="2" l="1"/>
  <c r="AM22" i="2" s="1"/>
  <c r="AN22" i="2" s="1"/>
  <c r="K14" i="48" s="1"/>
  <c r="M14" i="48" s="1"/>
  <c r="K15" i="48" l="1"/>
  <c r="Q6" i="48"/>
  <c r="S6" i="48" s="1"/>
  <c r="AO22" i="2"/>
  <c r="Q23" i="2" l="1"/>
  <c r="R23" i="2" l="1"/>
  <c r="AE23" i="2" s="1"/>
  <c r="AD23" i="2"/>
  <c r="AH23" i="2" l="1"/>
  <c r="AG23" i="2"/>
  <c r="AF23" i="2"/>
  <c r="AL23" i="2"/>
  <c r="AJ23" i="2"/>
  <c r="S23" i="2"/>
  <c r="T23" i="2" s="1"/>
  <c r="AI23" i="2" l="1"/>
  <c r="AM23" i="2" s="1"/>
  <c r="AN23" i="2" s="1"/>
  <c r="AO23" i="2" l="1"/>
  <c r="Q24" i="2" l="1"/>
  <c r="R24" i="2" l="1"/>
  <c r="AD24" i="2"/>
  <c r="AF24" i="2" l="1"/>
  <c r="AE24" i="2"/>
  <c r="S24" i="2"/>
  <c r="T24" i="2" s="1"/>
  <c r="AG24" i="2" l="1"/>
  <c r="AI24" i="2" s="1"/>
  <c r="AJ24" i="2"/>
  <c r="AL24" i="2"/>
  <c r="AM24" i="2" l="1"/>
  <c r="AN24" i="2" s="1"/>
  <c r="L16" i="48" l="1"/>
  <c r="L15" i="48"/>
  <c r="M15" i="48" s="1"/>
  <c r="AO24" i="2"/>
  <c r="Q25" i="2"/>
  <c r="R25" i="2" l="1"/>
  <c r="AD25" i="2"/>
  <c r="AE25" i="2" l="1"/>
  <c r="AF25" i="2"/>
  <c r="S25" i="2"/>
  <c r="T25" i="2" s="1"/>
  <c r="AJ25" i="2" l="1"/>
  <c r="AG25" i="2"/>
  <c r="AI25" i="2" s="1"/>
  <c r="AL25" i="2"/>
  <c r="AM25" i="2" l="1"/>
  <c r="AN25" i="2" s="1"/>
  <c r="J16" i="48" s="1"/>
  <c r="M16" i="48" s="1"/>
  <c r="Q26" i="2"/>
  <c r="AO25" i="2" l="1"/>
  <c r="AD26" i="2"/>
  <c r="R26" i="2"/>
  <c r="AF26" i="2" l="1"/>
  <c r="AE26" i="2"/>
  <c r="S26" i="2"/>
  <c r="T26" i="2" s="1"/>
  <c r="AJ26" i="2" l="1"/>
  <c r="AG26" i="2"/>
  <c r="AI26" i="2" s="1"/>
  <c r="AL26" i="2"/>
  <c r="AM26" i="2" l="1"/>
  <c r="AN26" i="2" s="1"/>
  <c r="P7" i="48" s="1"/>
  <c r="AO26" i="2" l="1"/>
  <c r="J18" i="48"/>
  <c r="J17" i="48"/>
  <c r="Q27" i="2"/>
  <c r="R27" i="2" l="1"/>
  <c r="AD27" i="2"/>
  <c r="AE27" i="2" l="1"/>
  <c r="AF27" i="2"/>
  <c r="S27" i="2"/>
  <c r="T27" i="2" s="1"/>
  <c r="AL27" i="2" l="1"/>
  <c r="AG27" i="2"/>
  <c r="AI27" i="2" s="1"/>
  <c r="AJ27" i="2"/>
  <c r="AM27" i="2" l="1"/>
  <c r="AN27" i="2" s="1"/>
  <c r="K17" i="48" s="1"/>
  <c r="M17" i="48" s="1"/>
  <c r="Q28" i="2"/>
  <c r="K18" i="48" l="1"/>
  <c r="AO27" i="2"/>
  <c r="AD28" i="2"/>
  <c r="R28" i="2"/>
  <c r="AE28" i="2" l="1"/>
  <c r="AF28" i="2"/>
  <c r="S28" i="2"/>
  <c r="T28" i="2" s="1"/>
  <c r="AL28" i="2" l="1"/>
  <c r="AG28" i="2"/>
  <c r="AI28" i="2" s="1"/>
  <c r="AJ28" i="2"/>
  <c r="AM28" i="2" l="1"/>
  <c r="AN28" i="2" s="1"/>
  <c r="L18" i="48" l="1"/>
  <c r="M18" i="48" s="1"/>
  <c r="AO28" i="2"/>
  <c r="Q29" i="2"/>
  <c r="R29" i="2" l="1"/>
  <c r="AD29" i="2"/>
  <c r="AF29" i="2" l="1"/>
  <c r="AE29" i="2"/>
  <c r="S29" i="2"/>
  <c r="T29" i="2" s="1"/>
  <c r="AH29" i="2" l="1"/>
  <c r="AL29" i="2"/>
  <c r="AG29" i="2"/>
  <c r="AJ29" i="2"/>
  <c r="AI29" i="2" l="1"/>
  <c r="AM29" i="2" s="1"/>
  <c r="AN29" i="2" s="1"/>
  <c r="K19" i="48" s="1"/>
  <c r="Q30" i="2"/>
  <c r="Q7" i="48" l="1"/>
  <c r="K20" i="48"/>
  <c r="AO29" i="2"/>
  <c r="AD30" i="2"/>
  <c r="R30" i="2"/>
  <c r="AF30" i="2" l="1"/>
  <c r="AE30" i="2"/>
  <c r="S30" i="2"/>
  <c r="T30" i="2" s="1"/>
  <c r="AH30" i="2" l="1"/>
  <c r="AJ30" i="2"/>
  <c r="AL30" i="2"/>
  <c r="AG30" i="2"/>
  <c r="AI30" i="2" l="1"/>
  <c r="AM30" i="2" s="1"/>
  <c r="AN30" i="2" s="1"/>
  <c r="L19" i="48" s="1"/>
  <c r="M19" i="48" s="1"/>
  <c r="X4" i="48" l="1"/>
  <c r="R7" i="48"/>
  <c r="S7" i="48" s="1"/>
  <c r="AO30" i="2"/>
  <c r="L20" i="48"/>
  <c r="Q31" i="2"/>
  <c r="AD31" i="2" l="1"/>
  <c r="R31" i="2"/>
  <c r="AF31" i="2" l="1"/>
  <c r="AE31" i="2"/>
  <c r="S31" i="2"/>
  <c r="T31" i="2" s="1"/>
  <c r="AH31" i="2" l="1"/>
  <c r="AL31" i="2"/>
  <c r="AG31" i="2"/>
  <c r="AJ31" i="2"/>
  <c r="AI31" i="2" l="1"/>
  <c r="AM31" i="2" s="1"/>
  <c r="AN31" i="2" s="1"/>
  <c r="AO31" i="2" l="1"/>
  <c r="Q32" i="2"/>
  <c r="R32" i="2" l="1"/>
  <c r="AE32" i="2" s="1"/>
  <c r="AD32" i="2"/>
  <c r="AH32" i="2" l="1"/>
  <c r="AL32" i="2"/>
  <c r="AG32" i="2"/>
  <c r="AJ32" i="2"/>
  <c r="AF32" i="2"/>
  <c r="S32" i="2"/>
  <c r="T32" i="2" s="1"/>
  <c r="AI32" i="2" l="1"/>
  <c r="AM32" i="2" s="1"/>
  <c r="AN32" i="2" s="1"/>
  <c r="J20" i="48" s="1"/>
  <c r="M20" i="48" s="1"/>
  <c r="J21" i="48" l="1"/>
  <c r="V4" i="48"/>
  <c r="AO32" i="2"/>
  <c r="Q33" i="2" l="1"/>
  <c r="R33" i="2" l="1"/>
  <c r="AE33" i="2" s="1"/>
  <c r="AD33" i="2"/>
  <c r="AH33" i="2" l="1"/>
  <c r="AF33" i="2"/>
  <c r="AL33" i="2"/>
  <c r="AG33" i="2"/>
  <c r="AJ33" i="2"/>
  <c r="S33" i="2"/>
  <c r="T33" i="2" s="1"/>
  <c r="AI33" i="2" l="1"/>
  <c r="AM33" i="2" s="1"/>
  <c r="AN33" i="2" s="1"/>
  <c r="K21" i="48" s="1"/>
  <c r="M21" i="48" s="1"/>
  <c r="W4" i="48" l="1"/>
  <c r="Y4" i="48" s="1"/>
  <c r="AO33" i="2"/>
  <c r="Q34" i="2"/>
  <c r="AD34" i="2" l="1"/>
  <c r="R34" i="2"/>
  <c r="AE34" i="2" s="1"/>
  <c r="AH34" i="2" l="1"/>
  <c r="AJ34" i="2"/>
  <c r="AF34" i="2"/>
  <c r="AL34" i="2"/>
  <c r="AG34" i="2"/>
  <c r="S34" i="2"/>
  <c r="T34" i="2" s="1"/>
  <c r="AI34" i="2" l="1"/>
  <c r="AM34" i="2" s="1"/>
  <c r="AN34" i="2" s="1"/>
  <c r="L22" i="48" s="1"/>
  <c r="AO34" i="2" l="1"/>
  <c r="Q35" i="2" l="1"/>
  <c r="AD35" i="2" l="1"/>
  <c r="R35" i="2"/>
  <c r="AE35" i="2" s="1"/>
  <c r="AH35" i="2" l="1"/>
  <c r="AL35" i="2"/>
  <c r="AF35" i="2"/>
  <c r="AG35" i="2"/>
  <c r="AJ35" i="2"/>
  <c r="S35" i="2"/>
  <c r="T35" i="2" s="1"/>
  <c r="AI35" i="2" l="1"/>
  <c r="AM35" i="2" s="1"/>
  <c r="AN35" i="2" s="1"/>
  <c r="K22" i="48" s="1"/>
  <c r="M22" i="48" s="1"/>
  <c r="AO35" i="2" l="1"/>
  <c r="K23" i="48"/>
  <c r="Q36" i="2"/>
  <c r="R36" i="2" l="1"/>
  <c r="AD36" i="2"/>
  <c r="AF36" i="2" l="1"/>
  <c r="AE36" i="2"/>
  <c r="S36" i="2"/>
  <c r="T36" i="2" s="1"/>
  <c r="AL36" i="2" l="1"/>
  <c r="AJ36" i="2"/>
  <c r="AG36" i="2"/>
  <c r="AI36" i="2" s="1"/>
  <c r="AM36" i="2" l="1"/>
  <c r="AN36" i="2" s="1"/>
  <c r="R8" i="48" s="1"/>
  <c r="L24" i="48"/>
  <c r="AO36" i="2" l="1"/>
  <c r="L23" i="48"/>
  <c r="M23" i="48" s="1"/>
  <c r="Q37" i="2"/>
  <c r="R37" i="2" l="1"/>
  <c r="AD37" i="2"/>
  <c r="AE37" i="2" l="1"/>
  <c r="AF37" i="2"/>
  <c r="S37" i="2"/>
  <c r="T37" i="2" s="1"/>
  <c r="AL37" i="2" l="1"/>
  <c r="AJ37" i="2"/>
  <c r="AG37" i="2"/>
  <c r="AI37" i="2" s="1"/>
  <c r="AM37" i="2" l="1"/>
  <c r="AN37" i="2" s="1"/>
  <c r="P8" i="48" s="1"/>
  <c r="J25" i="48" l="1"/>
  <c r="J24" i="48"/>
  <c r="AO37" i="2"/>
  <c r="Q38" i="2"/>
  <c r="AD38" i="2" l="1"/>
  <c r="R38" i="2"/>
  <c r="AF38" i="2" l="1"/>
  <c r="AE38" i="2"/>
  <c r="S38" i="2"/>
  <c r="T38" i="2" s="1"/>
  <c r="AL38" i="2" l="1"/>
  <c r="AG38" i="2"/>
  <c r="AI38" i="2" s="1"/>
  <c r="AJ38" i="2"/>
  <c r="AM38" i="2" l="1"/>
  <c r="AN38" i="2" s="1"/>
  <c r="Q8" i="48" s="1"/>
  <c r="S8" i="48" s="1"/>
  <c r="K25" i="48"/>
  <c r="AO38" i="2" l="1"/>
  <c r="K24" i="48"/>
  <c r="M24" i="48" s="1"/>
  <c r="Q39" i="2"/>
  <c r="R39" i="2" l="1"/>
  <c r="AD39" i="2"/>
  <c r="AE39" i="2" l="1"/>
  <c r="AF39" i="2"/>
  <c r="S39" i="2"/>
  <c r="T39" i="2" s="1"/>
  <c r="AJ39" i="2" l="1"/>
  <c r="AL39" i="2"/>
  <c r="AG39" i="2"/>
  <c r="AI39" i="2" s="1"/>
  <c r="AM39" i="2" l="1"/>
  <c r="AN39" i="2" s="1"/>
  <c r="AO39" i="2" l="1"/>
  <c r="Q40" i="2"/>
  <c r="R40" i="2" l="1"/>
  <c r="AD40" i="2"/>
  <c r="AE40" i="2" l="1"/>
  <c r="AF40" i="2"/>
  <c r="S40" i="2"/>
  <c r="T40" i="2" s="1"/>
  <c r="AL40" i="2" l="1"/>
  <c r="AJ40" i="2"/>
  <c r="AG40" i="2"/>
  <c r="AI40" i="2" s="1"/>
  <c r="AM40" i="2" l="1"/>
  <c r="AN40" i="2" s="1"/>
  <c r="L26" i="48" l="1"/>
  <c r="L25" i="48"/>
  <c r="M25" i="48" s="1"/>
  <c r="AO40" i="2"/>
  <c r="Q41" i="2"/>
  <c r="AD41" i="2" l="1"/>
  <c r="R41" i="2"/>
  <c r="AF41" i="2" l="1"/>
  <c r="AE41" i="2"/>
  <c r="S41" i="2"/>
  <c r="T41" i="2" s="1"/>
  <c r="AH41" i="2" l="1"/>
  <c r="AJ41" i="2"/>
  <c r="AL41" i="2"/>
  <c r="AG41" i="2"/>
  <c r="AI41" i="2" l="1"/>
  <c r="AM41" i="2" s="1"/>
  <c r="AN41" i="2" s="1"/>
  <c r="K26" i="48" s="1"/>
  <c r="M26" i="48" s="1"/>
  <c r="AO41" i="2" l="1"/>
  <c r="K27" i="48"/>
  <c r="Q42" i="2"/>
  <c r="R42" i="2" l="1"/>
  <c r="AD42" i="2"/>
  <c r="AF42" i="2" l="1"/>
  <c r="AE42" i="2"/>
  <c r="S42" i="2"/>
  <c r="T42" i="2" s="1"/>
  <c r="AH42" i="2" l="1"/>
  <c r="AG42" i="2"/>
  <c r="AJ42" i="2"/>
  <c r="AL42" i="2"/>
  <c r="AI42" i="2" l="1"/>
  <c r="AM42" i="2" s="1"/>
  <c r="AN42" i="2" s="1"/>
  <c r="L27" i="48" s="1"/>
  <c r="AO42" i="2" l="1"/>
  <c r="R9" i="48"/>
  <c r="L28" i="48"/>
  <c r="Q43" i="2"/>
  <c r="R43" i="2" l="1"/>
  <c r="AD43" i="2"/>
  <c r="AF43" i="2" l="1"/>
  <c r="AE43" i="2"/>
  <c r="S43" i="2"/>
  <c r="T43" i="2" s="1"/>
  <c r="AH43" i="2" l="1"/>
  <c r="AJ43" i="2"/>
  <c r="AG43" i="2"/>
  <c r="AL43" i="2"/>
  <c r="AI43" i="2" l="1"/>
  <c r="AM43" i="2" s="1"/>
  <c r="AN43" i="2" s="1"/>
  <c r="J27" i="48" s="1"/>
  <c r="M27" i="48" s="1"/>
  <c r="AO43" i="2" l="1"/>
  <c r="J28" i="48"/>
  <c r="Q44" i="2"/>
  <c r="AD44" i="2" l="1"/>
  <c r="R44" i="2"/>
  <c r="AE44" i="2" s="1"/>
  <c r="AH44" i="2" l="1"/>
  <c r="AG44" i="2"/>
  <c r="AF44" i="2"/>
  <c r="AL44" i="2"/>
  <c r="AJ44" i="2"/>
  <c r="S44" i="2"/>
  <c r="T44" i="2" s="1"/>
  <c r="AI44" i="2" l="1"/>
  <c r="AM44" i="2" s="1"/>
  <c r="AN44" i="2" s="1"/>
  <c r="K28" i="48" s="1"/>
  <c r="M28" i="48" s="1"/>
  <c r="AO44" i="2" l="1"/>
  <c r="Q45" i="2" l="1"/>
  <c r="AD45" i="2" l="1"/>
  <c r="R45" i="2"/>
  <c r="AE45" i="2" s="1"/>
  <c r="AH45" i="2" l="1"/>
  <c r="AF45" i="2"/>
  <c r="AL45" i="2"/>
  <c r="AJ45" i="2"/>
  <c r="AG45" i="2"/>
  <c r="AI45" i="2" s="1"/>
  <c r="S45" i="2"/>
  <c r="T45" i="2" s="1"/>
  <c r="AM45" i="2" l="1"/>
  <c r="AN45" i="2" s="1"/>
  <c r="J29" i="48" s="1"/>
  <c r="J30" i="48" l="1"/>
  <c r="P9" i="48"/>
  <c r="AO45" i="2"/>
  <c r="Q46" i="2" l="1"/>
  <c r="AD46" i="2" l="1"/>
  <c r="R46" i="2"/>
  <c r="AE46" i="2" s="1"/>
  <c r="AH46" i="2" l="1"/>
  <c r="AG46" i="2"/>
  <c r="AJ46" i="2"/>
  <c r="AF46" i="2"/>
  <c r="AL46" i="2"/>
  <c r="S46" i="2"/>
  <c r="T46" i="2" s="1"/>
  <c r="AI46" i="2" l="1"/>
  <c r="AM46" i="2" s="1"/>
  <c r="AN46" i="2" s="1"/>
  <c r="K29" i="48" s="1"/>
  <c r="M29" i="48" s="1"/>
  <c r="K30" i="48" l="1"/>
  <c r="Q9" i="48"/>
  <c r="S9" i="48" s="1"/>
  <c r="AO46" i="2"/>
  <c r="Q47" i="2" l="1"/>
  <c r="AD47" i="2" l="1"/>
  <c r="R47" i="2"/>
  <c r="AE47" i="2" s="1"/>
  <c r="AH47" i="2" l="1"/>
  <c r="AG47" i="2"/>
  <c r="AF47" i="2"/>
  <c r="AJ47" i="2"/>
  <c r="AL47" i="2"/>
  <c r="S47" i="2"/>
  <c r="T47" i="2" s="1"/>
  <c r="AI47" i="2" l="1"/>
  <c r="AM47" i="2" s="1"/>
  <c r="AN47" i="2" s="1"/>
  <c r="AO47" i="2" l="1"/>
  <c r="Q48" i="2"/>
  <c r="AD48" i="2" l="1"/>
  <c r="R48" i="2"/>
  <c r="AF48" i="2" l="1"/>
  <c r="AE48" i="2"/>
  <c r="S48" i="2"/>
  <c r="T48" i="2" s="1"/>
  <c r="AJ48" i="2" l="1"/>
  <c r="AG48" i="2"/>
  <c r="AI48" i="2" s="1"/>
  <c r="AL48" i="2"/>
  <c r="AM48" i="2" l="1"/>
  <c r="AN48" i="2" s="1"/>
  <c r="L31" i="48"/>
  <c r="AO48" i="2" l="1"/>
  <c r="L30" i="48"/>
  <c r="M30" i="48" s="1"/>
  <c r="Q49" i="2"/>
  <c r="AD49" i="2" l="1"/>
  <c r="R49" i="2"/>
  <c r="AE49" i="2" l="1"/>
  <c r="AF49" i="2"/>
  <c r="S49" i="2"/>
  <c r="T49" i="2" s="1"/>
  <c r="AL49" i="2" l="1"/>
  <c r="AG49" i="2"/>
  <c r="AI49" i="2" s="1"/>
  <c r="AJ49" i="2"/>
  <c r="AM49" i="2" l="1"/>
  <c r="AN49" i="2" s="1"/>
  <c r="J31" i="48" l="1"/>
  <c r="M31" i="48" s="1"/>
  <c r="AO49" i="2"/>
  <c r="Q50" i="2"/>
  <c r="R50" i="2" l="1"/>
  <c r="AD50" i="2"/>
  <c r="AF50" i="2" l="1"/>
  <c r="AE50" i="2"/>
  <c r="S50" i="2"/>
  <c r="T50" i="2" s="1"/>
  <c r="AJ50" i="2" l="1"/>
  <c r="AL50" i="2"/>
  <c r="AG50" i="2"/>
  <c r="AI50" i="2" s="1"/>
  <c r="AM50" i="2" l="1"/>
  <c r="AN50" i="2" s="1"/>
  <c r="K32" i="48" l="1"/>
  <c r="AO50" i="2"/>
  <c r="Q51" i="2"/>
  <c r="AD51" i="2" l="1"/>
  <c r="R51" i="2"/>
  <c r="AE51" i="2" l="1"/>
  <c r="AF51" i="2"/>
  <c r="S51" i="2"/>
  <c r="T51" i="2" s="1"/>
  <c r="AL51" i="2" l="1"/>
  <c r="AG51" i="2"/>
  <c r="AI51" i="2" s="1"/>
  <c r="AJ51" i="2"/>
  <c r="AM51" i="2" l="1"/>
  <c r="AN51" i="2" s="1"/>
  <c r="V5" i="48" s="1"/>
  <c r="AO51" i="2" l="1"/>
  <c r="J33" i="48"/>
  <c r="J32" i="48"/>
  <c r="M32" i="48" s="1"/>
  <c r="P10" i="48"/>
  <c r="Q52" i="2"/>
  <c r="AD52" i="2" l="1"/>
  <c r="R52" i="2"/>
  <c r="AE52" i="2" l="1"/>
  <c r="AF52" i="2"/>
  <c r="S52" i="2"/>
  <c r="T52" i="2" s="1"/>
  <c r="AL52" i="2" l="1"/>
  <c r="AG52" i="2"/>
  <c r="AI52" i="2" s="1"/>
  <c r="AJ52" i="2"/>
  <c r="AM52" i="2" l="1"/>
  <c r="AN52" i="2" s="1"/>
  <c r="K33" i="48" s="1"/>
  <c r="M33" i="48" s="1"/>
  <c r="K34" i="48"/>
  <c r="AO52" i="2" l="1"/>
  <c r="Q10" i="48"/>
  <c r="Q53" i="2"/>
  <c r="AD53" i="2" l="1"/>
  <c r="R53" i="2"/>
  <c r="AE53" i="2" l="1"/>
  <c r="AF53" i="2"/>
  <c r="S53" i="2"/>
  <c r="T53" i="2" s="1"/>
  <c r="AG53" i="2" l="1"/>
  <c r="AI53" i="2" s="1"/>
  <c r="AJ53" i="2"/>
  <c r="AL53" i="2"/>
  <c r="AM53" i="2" l="1"/>
  <c r="AN53" i="2" s="1"/>
  <c r="AO53" i="2" l="1"/>
  <c r="Q54" i="2"/>
  <c r="AD54" i="2" l="1"/>
  <c r="R54" i="2"/>
  <c r="AF54" i="2" l="1"/>
  <c r="AE54" i="2"/>
  <c r="S54" i="2"/>
  <c r="T54" i="2" s="1"/>
  <c r="AJ54" i="2" l="1"/>
  <c r="AL54" i="2"/>
  <c r="AG54" i="2"/>
  <c r="AI54" i="2" s="1"/>
  <c r="D25" i="48"/>
  <c r="D24" i="48"/>
  <c r="D26" i="48"/>
  <c r="D27" i="48" l="1"/>
  <c r="E25" i="48" s="1"/>
  <c r="AM54" i="2"/>
  <c r="AN54" i="2" s="1"/>
  <c r="AN1" i="2" s="1"/>
  <c r="B3" i="47" s="1"/>
  <c r="E4" i="48"/>
  <c r="E5" i="48"/>
  <c r="E6" i="48"/>
  <c r="F6" i="48"/>
  <c r="F5" i="48"/>
  <c r="D4" i="48"/>
  <c r="D5" i="48"/>
  <c r="D6" i="48"/>
  <c r="W5" i="48"/>
  <c r="L35" i="48"/>
  <c r="M35" i="48" s="1"/>
  <c r="R10" i="48"/>
  <c r="S10" i="48" s="1"/>
  <c r="AO54" i="2"/>
  <c r="F4" i="48" l="1"/>
  <c r="X5" i="48"/>
  <c r="Y5" i="48" s="1"/>
  <c r="E24" i="48"/>
  <c r="E26" i="48"/>
  <c r="F18" i="48"/>
  <c r="E18" i="48"/>
  <c r="D18" i="48"/>
  <c r="F17" i="48"/>
  <c r="E17" i="48"/>
  <c r="D17" i="48"/>
  <c r="F14" i="48"/>
  <c r="E14" i="48"/>
  <c r="D14" i="48"/>
  <c r="F13" i="48"/>
  <c r="E13" i="48"/>
  <c r="D13" i="48"/>
  <c r="F11" i="48"/>
  <c r="F12" i="48" s="1"/>
  <c r="E11" i="48"/>
  <c r="E15" i="48" s="1"/>
  <c r="E16" i="48" s="1"/>
  <c r="D11" i="48"/>
  <c r="D12" i="48" s="1"/>
  <c r="R11" i="48"/>
  <c r="S11" i="48" s="1"/>
  <c r="L34" i="48"/>
  <c r="M34" i="48" s="1"/>
  <c r="E7" i="48"/>
  <c r="D7" i="48"/>
  <c r="F7" i="48"/>
  <c r="D20" i="48" l="1"/>
  <c r="F15" i="48"/>
  <c r="F16" i="48" s="1"/>
  <c r="D15" i="48"/>
  <c r="D16" i="48" s="1"/>
  <c r="E20" i="48"/>
  <c r="F20" i="48"/>
  <c r="E12" i="48"/>
  <c r="E27" i="48"/>
</calcChain>
</file>

<file path=xl/comments1.xml><?xml version="1.0" encoding="utf-8"?>
<comments xmlns="http://schemas.openxmlformats.org/spreadsheetml/2006/main">
  <authors>
    <author>Shraddha</author>
  </authors>
  <commentList>
    <comment ref="E3" authorId="0" shapeId="0">
      <text>
        <r>
          <rPr>
            <b/>
            <sz val="9"/>
            <color indexed="81"/>
            <rFont val="Tahoma"/>
            <family val="2"/>
          </rPr>
          <t>Comments</t>
        </r>
        <r>
          <rPr>
            <sz val="9"/>
            <color indexed="81"/>
            <rFont val="Tahoma"/>
            <family val="2"/>
          </rPr>
          <t xml:space="preserve">
</t>
        </r>
      </text>
    </comment>
  </commentList>
</comments>
</file>

<file path=xl/comments2.xml><?xml version="1.0" encoding="utf-8"?>
<comments xmlns="http://schemas.openxmlformats.org/spreadsheetml/2006/main">
  <authors>
    <author>Shraddha</author>
  </authors>
  <commentList>
    <comment ref="X1" authorId="0" shapeId="0">
      <text>
        <r>
          <rPr>
            <sz val="9"/>
            <color indexed="81"/>
            <rFont val="Tahoma"/>
            <family val="2"/>
          </rPr>
          <t xml:space="preserve">PankajDP:
These entries show more detailed trade analysis, may not suit Scalpers or traders with many trades intraday et al
</t>
        </r>
      </text>
    </comment>
    <comment ref="P2" authorId="0" shapeId="0">
      <text>
        <r>
          <rPr>
            <b/>
            <sz val="9"/>
            <color indexed="81"/>
            <rFont val="Tahoma"/>
            <family val="2"/>
          </rPr>
          <t xml:space="preserve">PankajP:
</t>
        </r>
        <r>
          <rPr>
            <sz val="9"/>
            <color indexed="81"/>
            <rFont val="Tahoma"/>
            <family val="2"/>
          </rPr>
          <t xml:space="preserve">This is what I should follow as per my risk management
</t>
        </r>
      </text>
    </comment>
    <comment ref="R2" authorId="0" shapeId="0">
      <text>
        <r>
          <rPr>
            <b/>
            <sz val="9"/>
            <color indexed="81"/>
            <rFont val="Tahoma"/>
            <family val="2"/>
          </rPr>
          <t xml:space="preserve">PankajP:
</t>
        </r>
        <r>
          <rPr>
            <sz val="9"/>
            <color indexed="81"/>
            <rFont val="Tahoma"/>
            <family val="2"/>
          </rPr>
          <t>This is the actual risk I took</t>
        </r>
      </text>
    </comment>
    <comment ref="AA2" authorId="0" shapeId="0">
      <text>
        <r>
          <rPr>
            <sz val="9"/>
            <color indexed="81"/>
            <rFont val="Tahoma"/>
            <family val="2"/>
          </rPr>
          <t>PankajDP:
For how much duration trade should be held depends on TF of the setup.
Hence, I track this data based no. of bars.
E.g. For trade based on 5m chart, I may hold it for 15min, i.e 3 bars
or
For trade based on 60m chart, I may hold it for 2 days, viz 14 bars</t>
        </r>
      </text>
    </comment>
    <comment ref="L3" authorId="0" shapeId="0">
      <text>
        <r>
          <rPr>
            <b/>
            <sz val="9"/>
            <color indexed="81"/>
            <rFont val="Tahoma"/>
            <charset val="1"/>
          </rPr>
          <t>PankajDP:</t>
        </r>
        <r>
          <rPr>
            <sz val="9"/>
            <color indexed="81"/>
            <rFont val="Tahoma"/>
            <charset val="1"/>
          </rPr>
          <t xml:space="preserve">
Leave it blank if you don't use charts/TA for trading.</t>
        </r>
      </text>
    </comment>
    <comment ref="O3" authorId="0" shapeId="0">
      <text>
        <r>
          <rPr>
            <sz val="9"/>
            <color indexed="81"/>
            <rFont val="Tahoma"/>
            <family val="2"/>
          </rPr>
          <t>PankajDP:
For FnO, these numbers are taken from fo_mktlots sheet. Kindly make sure Name is same as mentioned there</t>
        </r>
      </text>
    </comment>
    <comment ref="Z3" authorId="0" shapeId="0">
      <text>
        <r>
          <rPr>
            <sz val="9"/>
            <color indexed="81"/>
            <rFont val="Tahoma"/>
            <family val="2"/>
          </rPr>
          <t xml:space="preserve">PankajDP:
It shows highest possible profit, without SL being hit or close of session/expiry/month.
This number is almost impossible to achieve. However, it gives insight into trade's potential
</t>
        </r>
      </text>
    </comment>
    <comment ref="AC3" authorId="0" shapeId="0">
      <text>
        <r>
          <rPr>
            <sz val="9"/>
            <color indexed="81"/>
            <rFont val="Tahoma"/>
            <family val="2"/>
          </rPr>
          <t>PankajDP:
No. of bars in which Max Gain (columnX) was achieved</t>
        </r>
      </text>
    </comment>
    <comment ref="AL3" authorId="0" shapeId="0">
      <text>
        <r>
          <rPr>
            <b/>
            <sz val="9"/>
            <color indexed="81"/>
            <rFont val="Tahoma"/>
            <family val="2"/>
          </rPr>
          <t>PankajDP:
Maharashtra</t>
        </r>
        <r>
          <rPr>
            <sz val="9"/>
            <color indexed="81"/>
            <rFont val="Tahoma"/>
            <family val="2"/>
          </rPr>
          <t xml:space="preserve">
</t>
        </r>
      </text>
    </comment>
    <comment ref="AN3" authorId="0" shapeId="0">
      <text>
        <r>
          <rPr>
            <b/>
            <sz val="9"/>
            <color indexed="81"/>
            <rFont val="Tahoma"/>
            <family val="2"/>
          </rPr>
          <t>PankajDP:</t>
        </r>
        <r>
          <rPr>
            <sz val="9"/>
            <color indexed="81"/>
            <rFont val="Tahoma"/>
            <family val="2"/>
          </rPr>
          <t xml:space="preserve">
After commissions/ charges etc</t>
        </r>
      </text>
    </comment>
  </commentList>
</comments>
</file>

<file path=xl/comments3.xml><?xml version="1.0" encoding="utf-8"?>
<comments xmlns="http://schemas.openxmlformats.org/spreadsheetml/2006/main">
  <authors>
    <author>Shraddha</author>
  </authors>
  <commentList>
    <comment ref="C7" authorId="0" shapeId="0">
      <text>
        <r>
          <rPr>
            <b/>
            <sz val="9"/>
            <color indexed="81"/>
            <rFont val="Tahoma"/>
            <family val="2"/>
          </rPr>
          <t>PankajDP:</t>
        </r>
        <r>
          <rPr>
            <sz val="9"/>
            <color indexed="81"/>
            <rFont val="Tahoma"/>
            <family val="2"/>
          </rPr>
          <t xml:space="preserve">
This is good way to compare different strategies</t>
        </r>
      </text>
    </comment>
  </commentList>
</comments>
</file>

<file path=xl/sharedStrings.xml><?xml version="1.0" encoding="utf-8"?>
<sst xmlns="http://schemas.openxmlformats.org/spreadsheetml/2006/main" count="3617" uniqueCount="571">
  <si>
    <t>Buy</t>
  </si>
  <si>
    <t>Buy/Sell</t>
  </si>
  <si>
    <t>Lots</t>
  </si>
  <si>
    <t>Sr No</t>
  </si>
  <si>
    <t>Total</t>
  </si>
  <si>
    <t>Date</t>
  </si>
  <si>
    <t>Day</t>
  </si>
  <si>
    <t>Week</t>
  </si>
  <si>
    <t>Month</t>
  </si>
  <si>
    <t>Entry</t>
  </si>
  <si>
    <t>Exit</t>
  </si>
  <si>
    <t>Sell</t>
  </si>
  <si>
    <t>Intra</t>
  </si>
  <si>
    <t>TJ</t>
  </si>
  <si>
    <t>TATAGLOBAL</t>
  </si>
  <si>
    <t>Pos</t>
  </si>
  <si>
    <t>Brokerage</t>
  </si>
  <si>
    <t>Total charges</t>
  </si>
  <si>
    <t>Turnover</t>
  </si>
  <si>
    <t>CTT</t>
  </si>
  <si>
    <t>SEBI charges</t>
  </si>
  <si>
    <t>STT</t>
  </si>
  <si>
    <t>S duty</t>
  </si>
  <si>
    <t>Risk</t>
  </si>
  <si>
    <t>Net P/L</t>
  </si>
  <si>
    <t>Asset</t>
  </si>
  <si>
    <t>NIFTY</t>
  </si>
  <si>
    <t>Lot size</t>
  </si>
  <si>
    <t>Broker</t>
  </si>
  <si>
    <t>Entry date</t>
  </si>
  <si>
    <t>Intra/ Pos</t>
  </si>
  <si>
    <t>Name</t>
  </si>
  <si>
    <t>Entry price</t>
  </si>
  <si>
    <t>Exit price</t>
  </si>
  <si>
    <t>SL (Points)</t>
  </si>
  <si>
    <t xml:space="preserve">           </t>
  </si>
  <si>
    <t xml:space="preserve">SUZLON    </t>
  </si>
  <si>
    <t xml:space="preserve">SUZLON ENERGY LIMITED               </t>
  </si>
  <si>
    <t xml:space="preserve">SOUTHBANK </t>
  </si>
  <si>
    <t xml:space="preserve">THE SOUTH INDIAN BANK LTD           </t>
  </si>
  <si>
    <t>PCJEWELLER</t>
  </si>
  <si>
    <t xml:space="preserve">PC JEWELLER LTD                     </t>
  </si>
  <si>
    <t xml:space="preserve">IFCI      </t>
  </si>
  <si>
    <t xml:space="preserve">IFCI LTD                            </t>
  </si>
  <si>
    <t xml:space="preserve">NHPC      </t>
  </si>
  <si>
    <t xml:space="preserve">NHPC LTD                            </t>
  </si>
  <si>
    <t>JPASSOCIAT</t>
  </si>
  <si>
    <t xml:space="preserve">JAIPRAKASH ASSOCIATES LTD           </t>
  </si>
  <si>
    <t xml:space="preserve">TCS       </t>
  </si>
  <si>
    <t xml:space="preserve">TATA CONSULTANCY SERV LT            </t>
  </si>
  <si>
    <t>MCDOWELL-N</t>
  </si>
  <si>
    <t xml:space="preserve">UNITED SPIRITS LIMITED              </t>
  </si>
  <si>
    <t xml:space="preserve">HEXAWARE  </t>
  </si>
  <si>
    <t xml:space="preserve">HEXAWARE TECHNOLOGIES LTD           </t>
  </si>
  <si>
    <t xml:space="preserve">TVSMOTOR  </t>
  </si>
  <si>
    <t xml:space="preserve">TVS MOTOR COMPANY  LTD              </t>
  </si>
  <si>
    <t>SRTRANSFIN</t>
  </si>
  <si>
    <t xml:space="preserve">SHRIRAM TRANSPORT FIN CO.           </t>
  </si>
  <si>
    <t xml:space="preserve">LICHSGFIN </t>
  </si>
  <si>
    <t xml:space="preserve">LIC HOUSING FINANCE LTD             </t>
  </si>
  <si>
    <t xml:space="preserve">JUSTDIAL  </t>
  </si>
  <si>
    <t xml:space="preserve">JUSTDIAL LTD.                       </t>
  </si>
  <si>
    <t xml:space="preserve">ZEEL      </t>
  </si>
  <si>
    <t xml:space="preserve">ZEE ENTERTAINMENT ENT LTD           </t>
  </si>
  <si>
    <t xml:space="preserve">BIOCON    </t>
  </si>
  <si>
    <t xml:space="preserve">BIOCON LIMITED.                     </t>
  </si>
  <si>
    <t xml:space="preserve">HINDPETRO </t>
  </si>
  <si>
    <t xml:space="preserve">HINDUSTAN PETROLEUM CORP            </t>
  </si>
  <si>
    <t xml:space="preserve">GMRINFRA  </t>
  </si>
  <si>
    <t xml:space="preserve">GMR INFRASTRUCTURE LTD.             </t>
  </si>
  <si>
    <t xml:space="preserve">GLENMARK  </t>
  </si>
  <si>
    <t xml:space="preserve">GLENMARK PHARMACEUTICALS            </t>
  </si>
  <si>
    <t xml:space="preserve">EQUITAS   </t>
  </si>
  <si>
    <t xml:space="preserve">EQUITAS HOLDINGS LIMITED            </t>
  </si>
  <si>
    <t xml:space="preserve">TATAPOWER </t>
  </si>
  <si>
    <t xml:space="preserve">TATA POWER CO LTD                   </t>
  </si>
  <si>
    <t>TORNTPHARM</t>
  </si>
  <si>
    <t xml:space="preserve">TORRENT PHARMACEUTICALS L           </t>
  </si>
  <si>
    <t xml:space="preserve">SUNTV     </t>
  </si>
  <si>
    <t xml:space="preserve">SUN TV NETWORK LIMITED              </t>
  </si>
  <si>
    <t xml:space="preserve">MARUTI    </t>
  </si>
  <si>
    <t xml:space="preserve">MARUTI SUZUKI INDIA LTD.            </t>
  </si>
  <si>
    <t xml:space="preserve">MARICO    </t>
  </si>
  <si>
    <t xml:space="preserve">MARICO LIMITED                      </t>
  </si>
  <si>
    <t xml:space="preserve">KOTAKBANK </t>
  </si>
  <si>
    <t xml:space="preserve">KOTAK MAHINDRA BANK LTD             </t>
  </si>
  <si>
    <t xml:space="preserve">INFRATEL  </t>
  </si>
  <si>
    <t xml:space="preserve">BHARTI INFRATEL LTD.                </t>
  </si>
  <si>
    <t>BAJAJFINSV</t>
  </si>
  <si>
    <t xml:space="preserve">BAJAJ FINSERV LTD.                  </t>
  </si>
  <si>
    <t xml:space="preserve">ASHOKLEY  </t>
  </si>
  <si>
    <t xml:space="preserve">ASHOK LEYLAND LTD                   </t>
  </si>
  <si>
    <t>MANAPPURAM</t>
  </si>
  <si>
    <t xml:space="preserve">MANAPPURAM FINANCE LTD              </t>
  </si>
  <si>
    <t>TV18BRDCST</t>
  </si>
  <si>
    <t xml:space="preserve">TV18 BROADCAST LIMITED              </t>
  </si>
  <si>
    <t>TORNTPOWER</t>
  </si>
  <si>
    <t xml:space="preserve">TORRENT POWER LTD                   </t>
  </si>
  <si>
    <t xml:space="preserve">STAR      </t>
  </si>
  <si>
    <t xml:space="preserve">STRIDES PHARMA SCI LTD              </t>
  </si>
  <si>
    <t>JETAIRWAYS</t>
  </si>
  <si>
    <t xml:space="preserve">JET AIRWAYS (INDIA) LTD.            </t>
  </si>
  <si>
    <t xml:space="preserve">SREINFRA  </t>
  </si>
  <si>
    <t xml:space="preserve">SREI INFRASTRUCTURE FINAN           </t>
  </si>
  <si>
    <t xml:space="preserve">RPOWER    </t>
  </si>
  <si>
    <t xml:space="preserve">RELIANCE POWER LTD.                 </t>
  </si>
  <si>
    <t xml:space="preserve">CANBK     </t>
  </si>
  <si>
    <t xml:space="preserve">CANARA BANK                         </t>
  </si>
  <si>
    <t xml:space="preserve">IOC       </t>
  </si>
  <si>
    <t xml:space="preserve">INDIAN OIL CORP LTD                 </t>
  </si>
  <si>
    <t xml:space="preserve">BEML      </t>
  </si>
  <si>
    <t xml:space="preserve">BEML LIMITED                        </t>
  </si>
  <si>
    <t>INDUSINDBK</t>
  </si>
  <si>
    <t xml:space="preserve">INDUSIND BANK LIMITED               </t>
  </si>
  <si>
    <t>BANKBARODA</t>
  </si>
  <si>
    <t xml:space="preserve">BANK OF BARODA                      </t>
  </si>
  <si>
    <t>BALRAMCHIN</t>
  </si>
  <si>
    <t xml:space="preserve">BALRAMPUR CHINI MILLS LTD           </t>
  </si>
  <si>
    <t>ANDHRABANK</t>
  </si>
  <si>
    <t xml:space="preserve">ANDHRA BANK                         </t>
  </si>
  <si>
    <t xml:space="preserve">M&amp;M       </t>
  </si>
  <si>
    <t xml:space="preserve">MAHINDRA &amp; MAHINDRA LTD             </t>
  </si>
  <si>
    <t xml:space="preserve">LUPIN     </t>
  </si>
  <si>
    <t xml:space="preserve">LUPIN LIMITED                       </t>
  </si>
  <si>
    <t xml:space="preserve">L&amp;TFH     </t>
  </si>
  <si>
    <t xml:space="preserve">L&amp;T FINANCE HOLDINGS LTD            </t>
  </si>
  <si>
    <t>KAJARIACER</t>
  </si>
  <si>
    <t xml:space="preserve">KAJARIA CERAMICS LTD                </t>
  </si>
  <si>
    <t>ADANIPOWER</t>
  </si>
  <si>
    <t xml:space="preserve">ADANI POWER LTD                     </t>
  </si>
  <si>
    <t xml:space="preserve">INDIGO    </t>
  </si>
  <si>
    <t xml:space="preserve">INTERGLOBE AVIATION LTD             </t>
  </si>
  <si>
    <t xml:space="preserve">IDFCBANK  </t>
  </si>
  <si>
    <t xml:space="preserve">IDFC BANK LIMITED                   </t>
  </si>
  <si>
    <t xml:space="preserve">GRASIM    </t>
  </si>
  <si>
    <t xml:space="preserve">GRASIM INDUSTRIES LTD               </t>
  </si>
  <si>
    <t xml:space="preserve">DHFL      </t>
  </si>
  <si>
    <t xml:space="preserve">DEWAN HOUSING FIN CORP LT           </t>
  </si>
  <si>
    <t>CUMMINSIND</t>
  </si>
  <si>
    <t xml:space="preserve">CUMMINS INDIA LTD                   </t>
  </si>
  <si>
    <t xml:space="preserve">CGPOWER   </t>
  </si>
  <si>
    <t xml:space="preserve">CG POWER AND IND SOL LTD            </t>
  </si>
  <si>
    <t>BHARTIARTL</t>
  </si>
  <si>
    <t xml:space="preserve">BHARTI AIRTEL LIMITED               </t>
  </si>
  <si>
    <t>BERGEPAINT</t>
  </si>
  <si>
    <t xml:space="preserve">BERGER PAINTS (I) LTD               </t>
  </si>
  <si>
    <t xml:space="preserve">VGUARD    </t>
  </si>
  <si>
    <t xml:space="preserve">V-GUARD IND LTD.                    </t>
  </si>
  <si>
    <t>ASIANPAINT</t>
  </si>
  <si>
    <t xml:space="preserve">ASIAN PAINTS LIMITED                </t>
  </si>
  <si>
    <t>AMARAJABAT</t>
  </si>
  <si>
    <t xml:space="preserve">AMARA RAJA BATTERIES LTD.           </t>
  </si>
  <si>
    <t xml:space="preserve">SYNDIBANK </t>
  </si>
  <si>
    <t xml:space="preserve">SYNDICATE BANK                      </t>
  </si>
  <si>
    <t xml:space="preserve">BPCL      </t>
  </si>
  <si>
    <t xml:space="preserve">BHARAT PETROLEUM CORP  LT           </t>
  </si>
  <si>
    <t xml:space="preserve">YESBANK   </t>
  </si>
  <si>
    <t xml:space="preserve">YES BANK LIMITED                    </t>
  </si>
  <si>
    <t>WOCKPHARMA</t>
  </si>
  <si>
    <t xml:space="preserve">WOCKHARDT LIMITED                   </t>
  </si>
  <si>
    <t xml:space="preserve">VOLTAS    </t>
  </si>
  <si>
    <t xml:space="preserve">VOLTAS LTD                          </t>
  </si>
  <si>
    <t xml:space="preserve">VEDL      </t>
  </si>
  <si>
    <t xml:space="preserve">VEDANTA LIMITED                     </t>
  </si>
  <si>
    <t xml:space="preserve">UNIONBANK </t>
  </si>
  <si>
    <t xml:space="preserve">UNION BANK OF INDIA                 </t>
  </si>
  <si>
    <t xml:space="preserve">UJJIVAN   </t>
  </si>
  <si>
    <t xml:space="preserve">UJJIVAN FIN. SERVC. LTD.            </t>
  </si>
  <si>
    <t xml:space="preserve">UBL       </t>
  </si>
  <si>
    <t xml:space="preserve">UNITED BREWERIES LTD                </t>
  </si>
  <si>
    <t xml:space="preserve">TITAN     </t>
  </si>
  <si>
    <t xml:space="preserve">TITAN COMPANY LIMITED               </t>
  </si>
  <si>
    <t xml:space="preserve">TATASTEEL </t>
  </si>
  <si>
    <t xml:space="preserve">TATA STEEL LIMITED                  </t>
  </si>
  <si>
    <t>TATAMTRDVR</t>
  </si>
  <si>
    <t xml:space="preserve">TATA MOTORS DVR 'A' ORD             </t>
  </si>
  <si>
    <t>TATAMOTORS</t>
  </si>
  <si>
    <t xml:space="preserve">TATA MOTORS LIMITED                 </t>
  </si>
  <si>
    <t xml:space="preserve">TATA GLOBAL BEVERAGES LTD           </t>
  </si>
  <si>
    <t xml:space="preserve">TATAELXSI </t>
  </si>
  <si>
    <t xml:space="preserve">TATA ELXSI LIMITED                  </t>
  </si>
  <si>
    <t xml:space="preserve">TATACHEM  </t>
  </si>
  <si>
    <t xml:space="preserve">TATA CHEMICALS LTD                  </t>
  </si>
  <si>
    <t xml:space="preserve">SRF       </t>
  </si>
  <si>
    <t xml:space="preserve">SRF LTD                             </t>
  </si>
  <si>
    <t xml:space="preserve">SIEMENS   </t>
  </si>
  <si>
    <t xml:space="preserve">SIEMENS LTD                         </t>
  </si>
  <si>
    <t xml:space="preserve">SBIN      </t>
  </si>
  <si>
    <t xml:space="preserve">STATE BANK OF INDIA                 </t>
  </si>
  <si>
    <t xml:space="preserve">SAIL      </t>
  </si>
  <si>
    <t xml:space="preserve">STEEL AUTHORITY OF INDIA            </t>
  </si>
  <si>
    <t xml:space="preserve">REPCOHOME </t>
  </si>
  <si>
    <t xml:space="preserve">REPCO HOME FINANCE LTD              </t>
  </si>
  <si>
    <t xml:space="preserve">RELIANCE  </t>
  </si>
  <si>
    <t xml:space="preserve">RELIANCE INDUSTRIES LTD             </t>
  </si>
  <si>
    <t xml:space="preserve">RECLTD    </t>
  </si>
  <si>
    <t xml:space="preserve">RURAL ELEC CORP. LTD.               </t>
  </si>
  <si>
    <t xml:space="preserve">RCOM      </t>
  </si>
  <si>
    <t xml:space="preserve">RELIANCE COMMUNICATIONS L           </t>
  </si>
  <si>
    <t xml:space="preserve">RBLBANK   </t>
  </si>
  <si>
    <t xml:space="preserve">RBL BANK LIMITED                    </t>
  </si>
  <si>
    <t xml:space="preserve">RAYMOND   </t>
  </si>
  <si>
    <t xml:space="preserve">RAYMOND LTD                         </t>
  </si>
  <si>
    <t xml:space="preserve">WIPRO     </t>
  </si>
  <si>
    <t xml:space="preserve">WIPRO LTD                           </t>
  </si>
  <si>
    <t xml:space="preserve">RAMCOCEM  </t>
  </si>
  <si>
    <t xml:space="preserve">THE RAMCO CEMENTS LIMITED           </t>
  </si>
  <si>
    <t xml:space="preserve">PVR       </t>
  </si>
  <si>
    <t xml:space="preserve">PVR LIMITED                         </t>
  </si>
  <si>
    <t xml:space="preserve">PTC       </t>
  </si>
  <si>
    <t xml:space="preserve">PTC INDIA LIMITED                   </t>
  </si>
  <si>
    <t xml:space="preserve">PNB       </t>
  </si>
  <si>
    <t xml:space="preserve">PUNJAB NATIONAL BANK                </t>
  </si>
  <si>
    <t xml:space="preserve">TATACOMM  </t>
  </si>
  <si>
    <t xml:space="preserve">TATA COMMUNICATIONS LTD             </t>
  </si>
  <si>
    <t>MOTHERSUMI</t>
  </si>
  <si>
    <t xml:space="preserve">MOTHERSON SUMI SYSTEMS LT           </t>
  </si>
  <si>
    <t>PIDILITIND</t>
  </si>
  <si>
    <t xml:space="preserve">PIDILITE INDUSTRIES LTD             </t>
  </si>
  <si>
    <t xml:space="preserve">PFC       </t>
  </si>
  <si>
    <t xml:space="preserve">POWER FIN CORP LTD.                 </t>
  </si>
  <si>
    <t xml:space="preserve">PAGEIND   </t>
  </si>
  <si>
    <t xml:space="preserve">PAGE INDUSTRIES LTD                 </t>
  </si>
  <si>
    <t>ORIENTBANK</t>
  </si>
  <si>
    <t xml:space="preserve">ORIENTAL BANK OF COMMERCE           </t>
  </si>
  <si>
    <t xml:space="preserve">OIL       </t>
  </si>
  <si>
    <t xml:space="preserve">OIL INDIA LTD                       </t>
  </si>
  <si>
    <t xml:space="preserve">OFSS      </t>
  </si>
  <si>
    <t xml:space="preserve">ORACLE FIN SERV SOFT LTD.           </t>
  </si>
  <si>
    <t xml:space="preserve">NMDC      </t>
  </si>
  <si>
    <t xml:space="preserve">NMDC LTD.                           </t>
  </si>
  <si>
    <t xml:space="preserve">NIITTECH  </t>
  </si>
  <si>
    <t xml:space="preserve">NIIT TECHNOLOGIES LTD               </t>
  </si>
  <si>
    <t xml:space="preserve">NCC       </t>
  </si>
  <si>
    <t xml:space="preserve">NCC LIMITED                         </t>
  </si>
  <si>
    <t xml:space="preserve">NBCC      </t>
  </si>
  <si>
    <t xml:space="preserve">NBCC (INDIA) LIMITED                </t>
  </si>
  <si>
    <t>NATIONALUM</t>
  </si>
  <si>
    <t xml:space="preserve">NATIONAL ALUMINIUM CO LTD           </t>
  </si>
  <si>
    <t>MUTHOOTFIN</t>
  </si>
  <si>
    <t xml:space="preserve">MUTHOOT FINANCE LIMITED             </t>
  </si>
  <si>
    <t xml:space="preserve">MRPL      </t>
  </si>
  <si>
    <t xml:space="preserve">MRPL                                </t>
  </si>
  <si>
    <t xml:space="preserve">MRF       </t>
  </si>
  <si>
    <t xml:space="preserve">MRF LTD                             </t>
  </si>
  <si>
    <t xml:space="preserve">MGL       </t>
  </si>
  <si>
    <t xml:space="preserve">MAHANAGAR GAS LTD.                  </t>
  </si>
  <si>
    <t xml:space="preserve">MFSL      </t>
  </si>
  <si>
    <t xml:space="preserve">MAX FINANCIAL SERV LTD              </t>
  </si>
  <si>
    <t xml:space="preserve">MCX       </t>
  </si>
  <si>
    <t xml:space="preserve">MULTI COMMODITY EXCHANGE            </t>
  </si>
  <si>
    <t xml:space="preserve">M&amp;MFIN    </t>
  </si>
  <si>
    <t xml:space="preserve">M&amp;M FIN. SERVICES LTD               </t>
  </si>
  <si>
    <t xml:space="preserve">LT        </t>
  </si>
  <si>
    <t xml:space="preserve">LARSEN &amp; TOUBRO LTD.                </t>
  </si>
  <si>
    <t xml:space="preserve">KTKBANK   </t>
  </si>
  <si>
    <t xml:space="preserve">KARNATAKA BANK LIMITED              </t>
  </si>
  <si>
    <t xml:space="preserve">INFIBEAM  </t>
  </si>
  <si>
    <t xml:space="preserve">INFIBEAM AVENUES LIMITED            </t>
  </si>
  <si>
    <t xml:space="preserve">KSCL      </t>
  </si>
  <si>
    <t xml:space="preserve">KAVERI SEED CO. LTD.                </t>
  </si>
  <si>
    <t xml:space="preserve">CADILAHC  </t>
  </si>
  <si>
    <t xml:space="preserve">CADILA HEALTHCARE LIMITED           </t>
  </si>
  <si>
    <t xml:space="preserve">INDIACEM  </t>
  </si>
  <si>
    <t xml:space="preserve">THE INDIA CEMENTS LIMITED           </t>
  </si>
  <si>
    <t xml:space="preserve">KPIT      </t>
  </si>
  <si>
    <t xml:space="preserve">KPIT TECHNOLOGIES LTD               </t>
  </si>
  <si>
    <t xml:space="preserve">JUBLFOOD  </t>
  </si>
  <si>
    <t xml:space="preserve">JUBILANT FOODWORKS LTD              </t>
  </si>
  <si>
    <t xml:space="preserve">JSWSTEEL  </t>
  </si>
  <si>
    <t xml:space="preserve">JSW STEEL LIMITED                   </t>
  </si>
  <si>
    <t>JISLJALEQS</t>
  </si>
  <si>
    <t xml:space="preserve">JAIN IRRIGATION SYSTEMS             </t>
  </si>
  <si>
    <t>IBULHSGFIN</t>
  </si>
  <si>
    <t xml:space="preserve">INDIABULLS HSG FIN LTD              </t>
  </si>
  <si>
    <t>JINDALSTEL</t>
  </si>
  <si>
    <t xml:space="preserve">JINDAL STEEL &amp; POWER LTD            </t>
  </si>
  <si>
    <t xml:space="preserve">ITC       </t>
  </si>
  <si>
    <t xml:space="preserve">ITC LTD                             </t>
  </si>
  <si>
    <t xml:space="preserve">IRB       </t>
  </si>
  <si>
    <t xml:space="preserve">IRB INFRA DEV LTD.                  </t>
  </si>
  <si>
    <t xml:space="preserve">INFY      </t>
  </si>
  <si>
    <t xml:space="preserve">INFOSYS LIMITED                     </t>
  </si>
  <si>
    <t xml:space="preserve">INDIANB   </t>
  </si>
  <si>
    <t xml:space="preserve">INDIAN BANK                         </t>
  </si>
  <si>
    <t xml:space="preserve">IGL       </t>
  </si>
  <si>
    <t xml:space="preserve">INDRAPRASTHA GAS LTD                </t>
  </si>
  <si>
    <t xml:space="preserve">IDFC      </t>
  </si>
  <si>
    <t xml:space="preserve">IDFC LIMITED                        </t>
  </si>
  <si>
    <t xml:space="preserve">IDEA      </t>
  </si>
  <si>
    <t xml:space="preserve">IDEA CELLULAR LIMITED               </t>
  </si>
  <si>
    <t xml:space="preserve">UPL       </t>
  </si>
  <si>
    <t xml:space="preserve">UPL LIMITED                         </t>
  </si>
  <si>
    <t>GODFRYPHLP</t>
  </si>
  <si>
    <t xml:space="preserve">GODFREY PHILLIPS INDIA LT           </t>
  </si>
  <si>
    <t xml:space="preserve">IDBI      </t>
  </si>
  <si>
    <t xml:space="preserve">IDBI BANK LIMITED                   </t>
  </si>
  <si>
    <t>ULTRACEMCO</t>
  </si>
  <si>
    <t xml:space="preserve">ULTRATECH CEMENT LIMITED            </t>
  </si>
  <si>
    <t xml:space="preserve">TECHM     </t>
  </si>
  <si>
    <t xml:space="preserve">TECH MAHINDRA LIMITED               </t>
  </si>
  <si>
    <t>ICICIPRULI</t>
  </si>
  <si>
    <t xml:space="preserve">ICICI PRU LIFE INS CO LTD           </t>
  </si>
  <si>
    <t xml:space="preserve">ICICIBANK </t>
  </si>
  <si>
    <t xml:space="preserve">ICICI BANK LTD.                     </t>
  </si>
  <si>
    <t xml:space="preserve">HINDZINC  </t>
  </si>
  <si>
    <t xml:space="preserve">HINDUSTAN ZINC LIMITED              </t>
  </si>
  <si>
    <t>HINDUNILVR</t>
  </si>
  <si>
    <t xml:space="preserve">HINDUSTAN UNILEVER LTD.             </t>
  </si>
  <si>
    <t xml:space="preserve">EICHERMOT </t>
  </si>
  <si>
    <t xml:space="preserve">EICHER MOTORS LTD                   </t>
  </si>
  <si>
    <t xml:space="preserve">HINDALCO  </t>
  </si>
  <si>
    <t xml:space="preserve">HINDALCO  INDUSTRIES  LTD           </t>
  </si>
  <si>
    <t xml:space="preserve">SUNPHARMA </t>
  </si>
  <si>
    <t xml:space="preserve">SUN PHARMACEUTICAL IND L            </t>
  </si>
  <si>
    <t>HEROMOTOCO</t>
  </si>
  <si>
    <t xml:space="preserve">HERO MOTOCORP LIMITED               </t>
  </si>
  <si>
    <t xml:space="preserve">SHREECEM  </t>
  </si>
  <si>
    <t xml:space="preserve">SHREE CEMENT LIMITED                </t>
  </si>
  <si>
    <t xml:space="preserve">HDFCBANK  </t>
  </si>
  <si>
    <t xml:space="preserve">HDFC BANK LTD                       </t>
  </si>
  <si>
    <t xml:space="preserve">RELINFRA  </t>
  </si>
  <si>
    <t xml:space="preserve">RELIANCE INFRASTRUCTU LTD           </t>
  </si>
  <si>
    <t xml:space="preserve">HDFC      </t>
  </si>
  <si>
    <t xml:space="preserve">HDFC LTD                            </t>
  </si>
  <si>
    <t xml:space="preserve">HCLTECH   </t>
  </si>
  <si>
    <t xml:space="preserve">HCL TECHNOLOGIES LTD                </t>
  </si>
  <si>
    <t>RELCAPITAL</t>
  </si>
  <si>
    <t xml:space="preserve">RELIANCE CAPITAL LTD                </t>
  </si>
  <si>
    <t xml:space="preserve">HCC       </t>
  </si>
  <si>
    <t xml:space="preserve">HINDUSTAN CONSTRUCTION CO           </t>
  </si>
  <si>
    <t xml:space="preserve">GSFC      </t>
  </si>
  <si>
    <t xml:space="preserve">GUJ STATE FERT &amp; CHEM LTD           </t>
  </si>
  <si>
    <t xml:space="preserve">GRANULES  </t>
  </si>
  <si>
    <t xml:space="preserve">GRANULES INDIA LIMITED              </t>
  </si>
  <si>
    <t xml:space="preserve">GODREJIND </t>
  </si>
  <si>
    <t xml:space="preserve">GODREJ INDUSTRIES LTD               </t>
  </si>
  <si>
    <t xml:space="preserve">POWERGRID </t>
  </si>
  <si>
    <t xml:space="preserve">POWER GRID CORP. LTD.               </t>
  </si>
  <si>
    <t xml:space="preserve">GAIL      </t>
  </si>
  <si>
    <t xml:space="preserve">GAIL (INDIA) LTD                    </t>
  </si>
  <si>
    <t xml:space="preserve">PETRONET  </t>
  </si>
  <si>
    <t xml:space="preserve">PETRONET LNG LIMITED                </t>
  </si>
  <si>
    <t>FEDERALBNK</t>
  </si>
  <si>
    <t xml:space="preserve">FEDERAL BANK LTD                    </t>
  </si>
  <si>
    <t xml:space="preserve">PEL       </t>
  </si>
  <si>
    <t xml:space="preserve">PIRAMAL ENTERPRISES LTD             </t>
  </si>
  <si>
    <t xml:space="preserve">EXIDEIND  </t>
  </si>
  <si>
    <t xml:space="preserve">EXIDE INDUSTRIES LTD                </t>
  </si>
  <si>
    <t xml:space="preserve">ONGC      </t>
  </si>
  <si>
    <t xml:space="preserve">OIL AND NATURAL GAS CORP.           </t>
  </si>
  <si>
    <t>CASTROLIND</t>
  </si>
  <si>
    <t xml:space="preserve">CASTROL INDIA LIMITED               </t>
  </si>
  <si>
    <t xml:space="preserve">CAPF      </t>
  </si>
  <si>
    <t xml:space="preserve">CAPITAL FIRST LIMITED               </t>
  </si>
  <si>
    <t xml:space="preserve">ESCORTS   </t>
  </si>
  <si>
    <t xml:space="preserve">ESCORTS INDIA LTD                   </t>
  </si>
  <si>
    <t>ENGINERSIN</t>
  </si>
  <si>
    <t xml:space="preserve">ENGINEERS INDIA LTD                 </t>
  </si>
  <si>
    <t xml:space="preserve">NTPC      </t>
  </si>
  <si>
    <t xml:space="preserve">NTPC LTD                            </t>
  </si>
  <si>
    <t xml:space="preserve">DLF       </t>
  </si>
  <si>
    <t xml:space="preserve">DLF LIMITED                         </t>
  </si>
  <si>
    <t xml:space="preserve">DIVISLAB  </t>
  </si>
  <si>
    <t xml:space="preserve">DIVI'S LABORATORIES LTD             </t>
  </si>
  <si>
    <t xml:space="preserve">DISHTV    </t>
  </si>
  <si>
    <t xml:space="preserve">DISH TV INDIA LTD.                  </t>
  </si>
  <si>
    <t xml:space="preserve">NESTLEIND </t>
  </si>
  <si>
    <t xml:space="preserve">NESTLE INDIA LIMITED                </t>
  </si>
  <si>
    <t xml:space="preserve">DCBBANK   </t>
  </si>
  <si>
    <t xml:space="preserve">DCB BANK LIMITED                    </t>
  </si>
  <si>
    <t xml:space="preserve">DALMIABHA </t>
  </si>
  <si>
    <t xml:space="preserve">DALMIA BHARAT LIMITED               </t>
  </si>
  <si>
    <t xml:space="preserve">DABUR     </t>
  </si>
  <si>
    <t xml:space="preserve">DABUR INDIA LTD                     </t>
  </si>
  <si>
    <t>APOLLOTYRE</t>
  </si>
  <si>
    <t xml:space="preserve">APOLLO TYRES LTD                    </t>
  </si>
  <si>
    <t xml:space="preserve">CONCOR    </t>
  </si>
  <si>
    <t xml:space="preserve">CONTAINER CORP OF IND LTD           </t>
  </si>
  <si>
    <t xml:space="preserve">MINDTREE  </t>
  </si>
  <si>
    <t xml:space="preserve">MINDTREE LIMITED                    </t>
  </si>
  <si>
    <t xml:space="preserve">COLPAL    </t>
  </si>
  <si>
    <t xml:space="preserve">COLGATE PALMOLIVE LTD.              </t>
  </si>
  <si>
    <t xml:space="preserve">COALINDIA </t>
  </si>
  <si>
    <t xml:space="preserve">COAL INDIA LTD                      </t>
  </si>
  <si>
    <t xml:space="preserve">CIPLA     </t>
  </si>
  <si>
    <t xml:space="preserve">CIPLA LTD                           </t>
  </si>
  <si>
    <t xml:space="preserve">CHOLAFIN  </t>
  </si>
  <si>
    <t xml:space="preserve">CHOLAMANDALAM IN &amp; FIN CO           </t>
  </si>
  <si>
    <t>CHENNPETRO</t>
  </si>
  <si>
    <t xml:space="preserve">CHENNAI PETROLEUM CORP LT           </t>
  </si>
  <si>
    <t xml:space="preserve">CESC      </t>
  </si>
  <si>
    <t xml:space="preserve">CESC LTD                            </t>
  </si>
  <si>
    <t xml:space="preserve">HAVELLS   </t>
  </si>
  <si>
    <t xml:space="preserve">HAVELLS INDIA LIMITED               </t>
  </si>
  <si>
    <t xml:space="preserve">CEATLTD   </t>
  </si>
  <si>
    <t xml:space="preserve">CEAT LIMITED                        </t>
  </si>
  <si>
    <t xml:space="preserve">GODREJCP  </t>
  </si>
  <si>
    <t xml:space="preserve">GODREJ CONSUMER PRODUCTS            </t>
  </si>
  <si>
    <t>CANFINHOME</t>
  </si>
  <si>
    <t xml:space="preserve">CAN FIN HOMES LTD                   </t>
  </si>
  <si>
    <t xml:space="preserve">BRITANNIA </t>
  </si>
  <si>
    <t xml:space="preserve">BRITANNIA INDUSTRIES LTD            </t>
  </si>
  <si>
    <t xml:space="preserve">DRREDDY   </t>
  </si>
  <si>
    <t xml:space="preserve">DR. REDDY'S LABORATORIES            </t>
  </si>
  <si>
    <t xml:space="preserve">BOSCHLTD  </t>
  </si>
  <si>
    <t xml:space="preserve">BOSCH LIMITED                       </t>
  </si>
  <si>
    <t xml:space="preserve">BHEL      </t>
  </si>
  <si>
    <t xml:space="preserve">BHEL                                </t>
  </si>
  <si>
    <t>CENTURYTEX</t>
  </si>
  <si>
    <t xml:space="preserve">CENTURY TEXTILES LTD                </t>
  </si>
  <si>
    <t xml:space="preserve">BHARATFIN </t>
  </si>
  <si>
    <t xml:space="preserve">BHARAT FIN INCLUSION LTD            </t>
  </si>
  <si>
    <t xml:space="preserve">BEL       </t>
  </si>
  <si>
    <t xml:space="preserve">BHARAT ELECTRONICS LTD              </t>
  </si>
  <si>
    <t>BHARATFORG</t>
  </si>
  <si>
    <t xml:space="preserve">BHARAT FORGE LTD                    </t>
  </si>
  <si>
    <t xml:space="preserve">BATAINDIA </t>
  </si>
  <si>
    <t xml:space="preserve">BATA INDIA LTD                      </t>
  </si>
  <si>
    <t xml:space="preserve">BANKINDIA </t>
  </si>
  <si>
    <t xml:space="preserve">BANK OF INDIA                       </t>
  </si>
  <si>
    <t>BALKRISIND</t>
  </si>
  <si>
    <t xml:space="preserve">BALKRISHNA IND. LTD                 </t>
  </si>
  <si>
    <t>BAJFINANCE</t>
  </si>
  <si>
    <t xml:space="preserve">BAJAJ FINANCE LIMITED               </t>
  </si>
  <si>
    <t>BAJAJ-AUTO</t>
  </si>
  <si>
    <t xml:space="preserve">BAJAJ AUTO LIMITED                  </t>
  </si>
  <si>
    <t xml:space="preserve">AXISBANK  </t>
  </si>
  <si>
    <t xml:space="preserve">AXIS BANK LIMITED                   </t>
  </si>
  <si>
    <t xml:space="preserve">ARVIND    </t>
  </si>
  <si>
    <t xml:space="preserve">ARVIND LIMITED                      </t>
  </si>
  <si>
    <t>APOLLOHOSP</t>
  </si>
  <si>
    <t xml:space="preserve">APOLLO HOSPITALS ENTER. L           </t>
  </si>
  <si>
    <t xml:space="preserve">ALBK      </t>
  </si>
  <si>
    <t xml:space="preserve">ALLAHABAD BANK                      </t>
  </si>
  <si>
    <t>ADANIPORTS</t>
  </si>
  <si>
    <t xml:space="preserve">ADANI PORT &amp; SEZ LTD                </t>
  </si>
  <si>
    <t>AUROPHARMA</t>
  </si>
  <si>
    <t xml:space="preserve">AUROBINDO PHARMA LTD                </t>
  </si>
  <si>
    <t>AJANTPHARM</t>
  </si>
  <si>
    <t xml:space="preserve">AJANTA PHARMA LIMITED               </t>
  </si>
  <si>
    <t xml:space="preserve">ACC       </t>
  </si>
  <si>
    <t xml:space="preserve">ACC LIMITED                         </t>
  </si>
  <si>
    <t xml:space="preserve">AMBUJACEM </t>
  </si>
  <si>
    <t xml:space="preserve">AMBUJA CEMENTS LTD                  </t>
  </si>
  <si>
    <t xml:space="preserve">ADANIENT  </t>
  </si>
  <si>
    <t xml:space="preserve">ADANI ENTERPRISES LIMITED           </t>
  </si>
  <si>
    <t xml:space="preserve">Symbol    </t>
  </si>
  <si>
    <t>Derivatives on Individual Securities</t>
  </si>
  <si>
    <t xml:space="preserve">INDIAVIX  </t>
  </si>
  <si>
    <t xml:space="preserve">INDIA VOLATILITY INDEX              </t>
  </si>
  <si>
    <t>NIFTYINFRA</t>
  </si>
  <si>
    <t xml:space="preserve">NIFTY INFRASTRUCTURE                </t>
  </si>
  <si>
    <t xml:space="preserve">NIFTYPSE  </t>
  </si>
  <si>
    <t xml:space="preserve">NIFTY PSE                           </t>
  </si>
  <si>
    <t>NIFTYMID50</t>
  </si>
  <si>
    <t xml:space="preserve">NIFTY MIDCAP 50                     </t>
  </si>
  <si>
    <t xml:space="preserve">NIFTY 50                            </t>
  </si>
  <si>
    <t xml:space="preserve">NIFTYIT   </t>
  </si>
  <si>
    <t xml:space="preserve">NIFTY IT                            </t>
  </si>
  <si>
    <t xml:space="preserve">FTSE100   </t>
  </si>
  <si>
    <t xml:space="preserve">FTSE 100 INDEX                      </t>
  </si>
  <si>
    <t xml:space="preserve">NIFTYCPSE </t>
  </si>
  <si>
    <t xml:space="preserve">NIFTY CPSE                          </t>
  </si>
  <si>
    <t xml:space="preserve">BANKNIFTY </t>
  </si>
  <si>
    <t xml:space="preserve">NIFTY BANK                          </t>
  </si>
  <si>
    <t xml:space="preserve">SYMBOL    </t>
  </si>
  <si>
    <t xml:space="preserve">UNDERLYING                          </t>
  </si>
  <si>
    <t>Exit date</t>
  </si>
  <si>
    <t>Total cash flow-&gt;</t>
  </si>
  <si>
    <t>Planned Risk % per trade</t>
  </si>
  <si>
    <t>ZE</t>
  </si>
  <si>
    <t>Strategy</t>
  </si>
  <si>
    <t>RR achieved</t>
  </si>
  <si>
    <t>Trade Analysis</t>
  </si>
  <si>
    <t>RR achieved/ Max RR</t>
  </si>
  <si>
    <t>Strategy2</t>
  </si>
  <si>
    <t>Strategy3</t>
  </si>
  <si>
    <t xml:space="preserve">Strategy1 </t>
  </si>
  <si>
    <t>Actual</t>
  </si>
  <si>
    <t>Risk Analysis</t>
  </si>
  <si>
    <t>Trade entry considerations</t>
  </si>
  <si>
    <t>Charges, brokerages et al</t>
  </si>
  <si>
    <t>Gross P/L</t>
  </si>
  <si>
    <t>If SL hit, max notional points</t>
  </si>
  <si>
    <t>If Tgt hit, maximum notional points loss</t>
  </si>
  <si>
    <t>Max possible gain</t>
  </si>
  <si>
    <t>Gain in Points</t>
  </si>
  <si>
    <t>Optional entries</t>
  </si>
  <si>
    <t>TF</t>
  </si>
  <si>
    <t>Trade Open</t>
  </si>
  <si>
    <t>Entries in terms of no. of bars</t>
  </si>
  <si>
    <t>1st tgt or SL achieved in</t>
  </si>
  <si>
    <t>Highest tgt achieved in</t>
  </si>
  <si>
    <t>Risk analysis</t>
  </si>
  <si>
    <t>Proper risk taken</t>
  </si>
  <si>
    <t>Too High risk taken</t>
  </si>
  <si>
    <t>Too Low risk taken</t>
  </si>
  <si>
    <t>I'm taking too Low risk</t>
  </si>
  <si>
    <t>I'm taking higher risk</t>
  </si>
  <si>
    <t>Total trades:</t>
  </si>
  <si>
    <t>No. of profitable trades</t>
  </si>
  <si>
    <t>%age of profitable trades</t>
  </si>
  <si>
    <t>Avg profits made</t>
  </si>
  <si>
    <t>Total profits made</t>
  </si>
  <si>
    <t>No. of losing trades</t>
  </si>
  <si>
    <t>%age of losing trades</t>
  </si>
  <si>
    <t>Avg losses incurred</t>
  </si>
  <si>
    <t>Total losses incurred</t>
  </si>
  <si>
    <t>Total no. of trades</t>
  </si>
  <si>
    <t>No. of trades</t>
  </si>
  <si>
    <t>Proportion</t>
  </si>
  <si>
    <t>Max possible RR</t>
  </si>
  <si>
    <t>Weekly performance</t>
  </si>
  <si>
    <t>Monthly performance</t>
  </si>
  <si>
    <t>Daily performance</t>
  </si>
  <si>
    <t>Ratings</t>
  </si>
  <si>
    <t>Good</t>
  </si>
  <si>
    <t>Entry as per trading plan</t>
  </si>
  <si>
    <t>Too early</t>
  </si>
  <si>
    <t>Entry before trade was triggered</t>
  </si>
  <si>
    <t>Broke trading rules</t>
  </si>
  <si>
    <t>Exit as per trading plan</t>
  </si>
  <si>
    <t>Exited before predecided target or stoploss hit</t>
  </si>
  <si>
    <t>Too late</t>
  </si>
  <si>
    <t>How do I rate trades?</t>
  </si>
  <si>
    <t>I tried to board running train, thereby RR may not be favorable</t>
  </si>
  <si>
    <t>Execution error</t>
  </si>
  <si>
    <t>Position size</t>
  </si>
  <si>
    <t xml:space="preserve">Note: </t>
  </si>
  <si>
    <t>highlighted in these colors have formulae</t>
  </si>
  <si>
    <t>Execution error: e.g. Entered Buy instead of Sell or entered improper lots etc</t>
  </si>
  <si>
    <t xml:space="preserve">Waited for too long, mostly beyond targets, being Greedy </t>
  </si>
  <si>
    <t>Mean</t>
  </si>
  <si>
    <t>Coefficient of variation</t>
  </si>
  <si>
    <t>Std deviation</t>
  </si>
  <si>
    <t>Swing trading</t>
  </si>
  <si>
    <t>Intraday trading</t>
  </si>
  <si>
    <t>Expiry trading/ Scalping/ Event based trading</t>
  </si>
  <si>
    <t>Examples of strategies</t>
  </si>
  <si>
    <t>*I use only Dashboard section for analysis and not this sheet. Still, have kept it for anybody who finds it useful. These are just sample charts. You may make similar ones for any data from Dashboard sheet</t>
  </si>
  <si>
    <t>EqFut</t>
  </si>
  <si>
    <t>EqOpt</t>
  </si>
  <si>
    <t>EqCash</t>
  </si>
  <si>
    <t>Turnover/ Transaction charges</t>
  </si>
  <si>
    <t>GST</t>
  </si>
  <si>
    <t>&lt;- this Red color in corner means, that cell has comment</t>
  </si>
  <si>
    <t>Acceptable risk</t>
  </si>
  <si>
    <t>Broke Trading rules</t>
  </si>
  <si>
    <t>Revised Trading capital</t>
  </si>
  <si>
    <t>To track notional values/ paper P/L</t>
  </si>
  <si>
    <t>- Every month end or whenever stocks' Lots size are changed, I copy paste prior data, to remove formulae, so old numbers won't change</t>
  </si>
  <si>
    <t>- Please use exact words for texts, as formulae are dependant on that…. E.g. Use EqFut for equity futures, use Intra for Intraday trades etc</t>
  </si>
  <si>
    <t xml:space="preserve">- Rows </t>
  </si>
  <si>
    <t>- Current data in trading sheets are random values. Overwrite those with your actual trades' values</t>
  </si>
  <si>
    <t>Original Trading Capital</t>
  </si>
  <si>
    <t>Latest capital</t>
  </si>
  <si>
    <t>Snapshot</t>
  </si>
  <si>
    <t>Broke rules for losing trades</t>
  </si>
  <si>
    <t>Either moved stoploss away or increased position size in losing trade</t>
  </si>
  <si>
    <t>Further details</t>
  </si>
  <si>
    <t>Trade Entry review</t>
  </si>
  <si>
    <t>Trade Exit review</t>
  </si>
  <si>
    <t>&lt;- Total net P/L</t>
  </si>
  <si>
    <t>- Calculations for all charges/commissions etc are based on discount brokers I use. Kindly see if you need any change in those and accordingly change formulae</t>
  </si>
  <si>
    <t>- When you want to add new rows, copy any of existing rows, so formulae would be pasted</t>
  </si>
  <si>
    <t>Broke trading rules by acting on a whim (For some people, it may be due to Tips on Social media/ TV experts :P)</t>
  </si>
  <si>
    <t>Its rating is auto computed based following logic
- Good: If trade size is betn 75%-110% of predecided risk based on trading capital (e.g. 1% of capital)
- Too Large: If trade size is &gt;110% of predecided risk. Risk of losing big capital is higher if we take undue risk.
- Too Low: If trade size is &lt;75% of predecided risk. This could imply, I am driving car with partial hand brake pulled.</t>
  </si>
  <si>
    <t>Daily</t>
  </si>
  <si>
    <t>Strategy wise preformance</t>
  </si>
  <si>
    <t>Recommended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</si>
</sst>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0_);_(* \(#,##0.0\);_(* &quot;-&quot;??_);_(@_)"/>
  </numFmts>
  <fonts count="9">
    <font>
      <sz val="11"/>
      <color theme="1"/>
      <name val="Calibri"/>
      <family val="2"/>
      <scheme val="minor"/>
    </font>
    <font>
      <u/>
      <sz val="11"/>
      <color theme="10"/>
      <name val="Calibri"/>
      <family val="2"/>
    </font>
    <font>
      <sz val="8"/>
      <color rgb="FF000000"/>
      <name val="Inherit"/>
    </font>
    <font>
      <b/>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14999847407452621"/>
        <bgColor indexed="64"/>
      </patternFill>
    </fill>
  </fills>
  <borders count="24">
    <border>
      <left/>
      <right/>
      <top/>
      <bottom/>
      <diagonal/>
    </border>
    <border>
      <left/>
      <right/>
      <top/>
      <bottom style="medium">
        <color rgb="FF9F9D9E"/>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43" fontId="4" fillId="0" borderId="0" applyFont="0" applyFill="0" applyBorder="0" applyAlignment="0" applyProtection="0"/>
    <xf numFmtId="9" fontId="4" fillId="0" borderId="0" applyFont="0" applyFill="0" applyBorder="0" applyAlignment="0" applyProtection="0"/>
  </cellStyleXfs>
  <cellXfs count="136">
    <xf numFmtId="0" fontId="0" fillId="0" borderId="0" xfId="0"/>
    <xf numFmtId="0" fontId="0" fillId="0" borderId="0" xfId="0" applyFont="1"/>
    <xf numFmtId="0" fontId="0" fillId="2" borderId="0" xfId="0" applyFont="1" applyFill="1"/>
    <xf numFmtId="0" fontId="0" fillId="0" borderId="3" xfId="0" applyFont="1" applyBorder="1"/>
    <xf numFmtId="0" fontId="0" fillId="0" borderId="0" xfId="0" applyBorder="1"/>
    <xf numFmtId="0" fontId="0" fillId="0" borderId="0" xfId="0" applyFont="1" applyBorder="1"/>
    <xf numFmtId="0" fontId="3" fillId="0" borderId="0" xfId="0" applyFont="1"/>
    <xf numFmtId="0" fontId="0" fillId="0" borderId="0" xfId="0" applyFont="1" applyFill="1" applyBorder="1"/>
    <xf numFmtId="164" fontId="0" fillId="0" borderId="0" xfId="0" applyNumberFormat="1"/>
    <xf numFmtId="0" fontId="0" fillId="0" borderId="0" xfId="0" applyFill="1" applyBorder="1"/>
    <xf numFmtId="0" fontId="0" fillId="0" borderId="0" xfId="0" applyFont="1" applyFill="1"/>
    <xf numFmtId="165" fontId="0" fillId="0" borderId="0" xfId="2" applyNumberFormat="1" applyFont="1" applyBorder="1"/>
    <xf numFmtId="165" fontId="0" fillId="0" borderId="0" xfId="2" applyNumberFormat="1" applyFont="1"/>
    <xf numFmtId="165" fontId="2" fillId="0" borderId="1" xfId="2" applyNumberFormat="1" applyFont="1" applyFill="1" applyBorder="1" applyAlignment="1">
      <alignment horizontal="center" wrapText="1"/>
    </xf>
    <xf numFmtId="0" fontId="0" fillId="0" borderId="2" xfId="0" applyBorder="1"/>
    <xf numFmtId="0" fontId="0" fillId="0" borderId="14" xfId="0" applyBorder="1"/>
    <xf numFmtId="0" fontId="0" fillId="0" borderId="16" xfId="0" applyBorder="1"/>
    <xf numFmtId="14" fontId="0" fillId="0" borderId="0" xfId="0" applyNumberFormat="1" applyFill="1"/>
    <xf numFmtId="16" fontId="0" fillId="0" borderId="0" xfId="0" applyNumberFormat="1"/>
    <xf numFmtId="0" fontId="0" fillId="5" borderId="0" xfId="0" applyFont="1" applyFill="1"/>
    <xf numFmtId="0" fontId="0" fillId="0" borderId="0" xfId="0" quotePrefix="1"/>
    <xf numFmtId="0" fontId="3" fillId="0" borderId="16" xfId="0" applyFont="1" applyBorder="1"/>
    <xf numFmtId="0" fontId="3" fillId="0" borderId="7" xfId="0" applyFont="1" applyBorder="1"/>
    <xf numFmtId="0" fontId="3" fillId="0" borderId="9" xfId="0" applyFont="1" applyFill="1" applyBorder="1"/>
    <xf numFmtId="0" fontId="3" fillId="0" borderId="0" xfId="0" applyFont="1" applyAlignment="1">
      <alignment wrapText="1"/>
    </xf>
    <xf numFmtId="0" fontId="0" fillId="6" borderId="0" xfId="0" applyFont="1" applyFill="1" applyBorder="1"/>
    <xf numFmtId="0" fontId="0" fillId="6" borderId="0" xfId="0" applyFont="1" applyFill="1"/>
    <xf numFmtId="14" fontId="0" fillId="6" borderId="0" xfId="0" applyNumberFormat="1" applyFont="1" applyFill="1"/>
    <xf numFmtId="0" fontId="1" fillId="0" borderId="0" xfId="1" applyAlignment="1" applyProtection="1">
      <alignment wrapText="1"/>
    </xf>
    <xf numFmtId="165" fontId="0" fillId="6" borderId="0" xfId="2" applyNumberFormat="1" applyFont="1" applyFill="1"/>
    <xf numFmtId="166" fontId="0" fillId="6" borderId="0" xfId="0" applyNumberFormat="1" applyFont="1" applyFill="1"/>
    <xf numFmtId="14" fontId="0" fillId="6" borderId="0" xfId="0" applyNumberFormat="1" applyFill="1"/>
    <xf numFmtId="0" fontId="3" fillId="0" borderId="9" xfId="0" applyFont="1" applyBorder="1"/>
    <xf numFmtId="0" fontId="0" fillId="0" borderId="9" xfId="0" applyFont="1" applyBorder="1"/>
    <xf numFmtId="165" fontId="0" fillId="0" borderId="0" xfId="0" applyNumberFormat="1" applyFont="1"/>
    <xf numFmtId="0" fontId="0" fillId="7" borderId="0" xfId="0" applyFont="1" applyFill="1"/>
    <xf numFmtId="0" fontId="3" fillId="7" borderId="9" xfId="0" applyFont="1" applyFill="1" applyBorder="1"/>
    <xf numFmtId="0" fontId="0" fillId="6" borderId="0" xfId="0" applyFill="1"/>
    <xf numFmtId="0" fontId="0" fillId="6" borderId="14" xfId="0" applyFont="1" applyFill="1" applyBorder="1"/>
    <xf numFmtId="0" fontId="0" fillId="6" borderId="15" xfId="0" applyFont="1" applyFill="1" applyBorder="1"/>
    <xf numFmtId="0" fontId="0" fillId="6" borderId="16" xfId="0" applyFont="1" applyFill="1" applyBorder="1"/>
    <xf numFmtId="0" fontId="0" fillId="6" borderId="17" xfId="0" applyFont="1" applyFill="1" applyBorder="1"/>
    <xf numFmtId="165" fontId="0" fillId="6" borderId="17" xfId="0" applyNumberFormat="1" applyFill="1" applyBorder="1" applyAlignment="1"/>
    <xf numFmtId="164" fontId="0" fillId="0" borderId="0" xfId="3" applyNumberFormat="1" applyFont="1"/>
    <xf numFmtId="1" fontId="0" fillId="6" borderId="0" xfId="0" applyNumberFormat="1" applyFill="1"/>
    <xf numFmtId="14" fontId="0" fillId="0" borderId="0" xfId="0" applyNumberFormat="1" applyBorder="1"/>
    <xf numFmtId="9" fontId="0" fillId="0" borderId="15" xfId="3" applyFont="1" applyBorder="1"/>
    <xf numFmtId="9" fontId="3" fillId="0" borderId="17" xfId="0" applyNumberFormat="1" applyFont="1" applyBorder="1"/>
    <xf numFmtId="0" fontId="3" fillId="2" borderId="11" xfId="0" applyFont="1" applyFill="1" applyBorder="1"/>
    <xf numFmtId="0" fontId="3" fillId="2" borderId="12" xfId="0" applyFont="1" applyFill="1" applyBorder="1"/>
    <xf numFmtId="0" fontId="3" fillId="2" borderId="13" xfId="0" applyFont="1" applyFill="1" applyBorder="1"/>
    <xf numFmtId="0" fontId="3" fillId="3" borderId="12" xfId="0" applyFont="1" applyFill="1" applyBorder="1"/>
    <xf numFmtId="0" fontId="3" fillId="3" borderId="13" xfId="0" applyFont="1" applyFill="1" applyBorder="1"/>
    <xf numFmtId="14" fontId="0" fillId="0" borderId="14" xfId="0" applyNumberFormat="1" applyBorder="1"/>
    <xf numFmtId="14" fontId="0" fillId="0" borderId="16" xfId="0" applyNumberFormat="1" applyBorder="1"/>
    <xf numFmtId="14" fontId="0" fillId="0" borderId="7" xfId="0" applyNumberFormat="1" applyBorder="1"/>
    <xf numFmtId="0" fontId="3" fillId="8" borderId="0" xfId="0" applyFont="1" applyFill="1" applyBorder="1"/>
    <xf numFmtId="0" fontId="3" fillId="9" borderId="0" xfId="0" applyFont="1" applyFill="1" applyBorder="1"/>
    <xf numFmtId="0" fontId="3" fillId="9" borderId="14" xfId="0" applyFont="1" applyFill="1" applyBorder="1"/>
    <xf numFmtId="0" fontId="3" fillId="9" borderId="15" xfId="0" applyFont="1" applyFill="1" applyBorder="1"/>
    <xf numFmtId="0" fontId="3" fillId="8" borderId="14" xfId="0" applyFont="1" applyFill="1" applyBorder="1"/>
    <xf numFmtId="0" fontId="3" fillId="8" borderId="15" xfId="0" applyFont="1" applyFill="1" applyBorder="1"/>
    <xf numFmtId="0" fontId="3" fillId="0" borderId="0" xfId="0" applyFont="1" applyFill="1" applyBorder="1"/>
    <xf numFmtId="0" fontId="0" fillId="0" borderId="18" xfId="0" applyBorder="1"/>
    <xf numFmtId="0" fontId="0" fillId="0" borderId="19" xfId="0" applyBorder="1"/>
    <xf numFmtId="0" fontId="0" fillId="0" borderId="3" xfId="0" applyBorder="1"/>
    <xf numFmtId="0" fontId="0" fillId="0" borderId="20" xfId="0" applyBorder="1"/>
    <xf numFmtId="0" fontId="0" fillId="0" borderId="4" xfId="0" applyBorder="1"/>
    <xf numFmtId="0" fontId="0" fillId="0" borderId="5" xfId="0" applyBorder="1"/>
    <xf numFmtId="0" fontId="0" fillId="0" borderId="6" xfId="0" applyBorder="1"/>
    <xf numFmtId="0" fontId="3" fillId="0" borderId="0" xfId="0" applyFont="1" applyBorder="1"/>
    <xf numFmtId="0" fontId="0" fillId="0" borderId="0" xfId="0" applyBorder="1" applyAlignment="1">
      <alignment vertical="center"/>
    </xf>
    <xf numFmtId="0" fontId="0" fillId="0" borderId="22" xfId="0" applyBorder="1"/>
    <xf numFmtId="0" fontId="0" fillId="0" borderId="23" xfId="0" applyBorder="1"/>
    <xf numFmtId="0" fontId="3" fillId="0" borderId="21" xfId="0" applyFont="1" applyBorder="1" applyAlignment="1">
      <alignment horizont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0" xfId="0" applyAlignment="1">
      <alignment horizontal="center" vertical="center"/>
    </xf>
    <xf numFmtId="9" fontId="0" fillId="0" borderId="15" xfId="0" applyNumberFormat="1" applyBorder="1" applyAlignment="1">
      <alignment horizontal="center"/>
    </xf>
    <xf numFmtId="10" fontId="0" fillId="0" borderId="15" xfId="0" applyNumberFormat="1" applyFont="1" applyBorder="1" applyAlignment="1">
      <alignment horizontal="center"/>
    </xf>
    <xf numFmtId="10" fontId="0" fillId="0" borderId="17" xfId="0" applyNumberFormat="1" applyBorder="1" applyAlignment="1">
      <alignment horizontal="center"/>
    </xf>
    <xf numFmtId="165" fontId="0" fillId="0" borderId="16" xfId="2" applyNumberFormat="1" applyFont="1" applyBorder="1"/>
    <xf numFmtId="1" fontId="0" fillId="6" borderId="0" xfId="0" applyNumberFormat="1" applyFont="1" applyFill="1" applyBorder="1"/>
    <xf numFmtId="0" fontId="3" fillId="0" borderId="14" xfId="0" applyFont="1" applyFill="1" applyBorder="1"/>
    <xf numFmtId="0" fontId="3" fillId="0" borderId="15" xfId="0" applyFont="1" applyFill="1" applyBorder="1"/>
    <xf numFmtId="1" fontId="0" fillId="6" borderId="7" xfId="0" applyNumberFormat="1" applyFont="1" applyFill="1" applyBorder="1"/>
    <xf numFmtId="0" fontId="0" fillId="0" borderId="7" xfId="0" applyFont="1" applyBorder="1"/>
    <xf numFmtId="43" fontId="0" fillId="6" borderId="0" xfId="2" applyNumberFormat="1" applyFont="1" applyFill="1"/>
    <xf numFmtId="164" fontId="0" fillId="0" borderId="0" xfId="0" applyNumberFormat="1" applyFont="1"/>
    <xf numFmtId="0" fontId="0" fillId="0" borderId="11" xfId="0" applyFont="1" applyBorder="1"/>
    <xf numFmtId="165" fontId="0" fillId="0" borderId="0" xfId="0" applyNumberFormat="1" applyFont="1" applyAlignment="1">
      <alignment horizontal="center" vertical="center"/>
    </xf>
    <xf numFmtId="164" fontId="0" fillId="6" borderId="0" xfId="3" applyNumberFormat="1" applyFont="1" applyFill="1"/>
    <xf numFmtId="0" fontId="3" fillId="5" borderId="9" xfId="0" applyFont="1" applyFill="1" applyBorder="1"/>
    <xf numFmtId="0" fontId="0" fillId="7" borderId="0" xfId="0" quotePrefix="1" applyFill="1"/>
    <xf numFmtId="0" fontId="3" fillId="4" borderId="11" xfId="0" applyFont="1" applyFill="1" applyBorder="1"/>
    <xf numFmtId="0" fontId="3" fillId="4" borderId="12" xfId="0" applyFont="1" applyFill="1" applyBorder="1"/>
    <xf numFmtId="0" fontId="3" fillId="4" borderId="13" xfId="0" applyFont="1" applyFill="1" applyBorder="1"/>
    <xf numFmtId="0" fontId="3" fillId="10" borderId="14" xfId="0" applyFont="1" applyFill="1" applyBorder="1"/>
    <xf numFmtId="0" fontId="3" fillId="10" borderId="0" xfId="0" applyFont="1" applyFill="1" applyBorder="1"/>
    <xf numFmtId="0" fontId="3" fillId="10" borderId="15" xfId="0" applyFont="1" applyFill="1" applyBorder="1"/>
    <xf numFmtId="0" fontId="3" fillId="0" borderId="16" xfId="0" applyFont="1" applyFill="1" applyBorder="1"/>
    <xf numFmtId="164" fontId="3" fillId="0" borderId="7" xfId="0" applyNumberFormat="1" applyFont="1" applyBorder="1"/>
    <xf numFmtId="9" fontId="3" fillId="0" borderId="17" xfId="3" applyFont="1" applyBorder="1"/>
    <xf numFmtId="165" fontId="0" fillId="0" borderId="15" xfId="2" applyNumberFormat="1" applyFont="1" applyBorder="1"/>
    <xf numFmtId="165" fontId="0" fillId="0" borderId="7" xfId="2" applyNumberFormat="1" applyFont="1" applyBorder="1"/>
    <xf numFmtId="165" fontId="0" fillId="0" borderId="17" xfId="2" applyNumberFormat="1" applyFont="1" applyBorder="1"/>
    <xf numFmtId="165" fontId="0" fillId="0" borderId="0" xfId="0" applyNumberFormat="1" applyBorder="1"/>
    <xf numFmtId="165" fontId="0" fillId="0" borderId="15" xfId="0" applyNumberFormat="1" applyBorder="1"/>
    <xf numFmtId="165" fontId="0" fillId="0" borderId="7" xfId="0" applyNumberFormat="1" applyBorder="1"/>
    <xf numFmtId="165" fontId="0" fillId="0" borderId="17" xfId="0" applyNumberFormat="1" applyBorder="1"/>
    <xf numFmtId="165" fontId="0" fillId="0" borderId="0" xfId="3" applyNumberFormat="1" applyFont="1" applyBorder="1"/>
    <xf numFmtId="165" fontId="0" fillId="0" borderId="15" xfId="3" applyNumberFormat="1" applyFont="1" applyBorder="1"/>
    <xf numFmtId="165" fontId="3" fillId="0" borderId="7" xfId="0" applyNumberFormat="1" applyFont="1" applyBorder="1"/>
    <xf numFmtId="165" fontId="3" fillId="0" borderId="17" xfId="0" applyNumberFormat="1" applyFont="1" applyBorder="1"/>
    <xf numFmtId="165" fontId="3" fillId="0" borderId="0" xfId="2" applyNumberFormat="1" applyFont="1" applyBorder="1"/>
    <xf numFmtId="1" fontId="0" fillId="0" borderId="0" xfId="0" applyNumberFormat="1" applyFill="1" applyBorder="1"/>
    <xf numFmtId="165" fontId="0" fillId="0" borderId="13" xfId="2" applyNumberFormat="1" applyFont="1" applyBorder="1"/>
    <xf numFmtId="0" fontId="0" fillId="0" borderId="0" xfId="0" applyBorder="1" applyAlignment="1">
      <alignment horizontal="left" wrapText="1"/>
    </xf>
    <xf numFmtId="0" fontId="0" fillId="0" borderId="20" xfId="0" applyBorder="1" applyAlignment="1">
      <alignment horizontal="left" wrapText="1"/>
    </xf>
    <xf numFmtId="0" fontId="3" fillId="0" borderId="11" xfId="0" applyFont="1" applyBorder="1" applyAlignment="1">
      <alignment horizontal="right"/>
    </xf>
    <xf numFmtId="0" fontId="3" fillId="0" borderId="13" xfId="0" applyFont="1" applyBorder="1" applyAlignment="1">
      <alignment horizontal="right"/>
    </xf>
    <xf numFmtId="0" fontId="3" fillId="0" borderId="7" xfId="0" applyFont="1" applyBorder="1" applyAlignment="1">
      <alignment horizontal="center"/>
    </xf>
    <xf numFmtId="0" fontId="0"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5" borderId="7" xfId="0" applyFont="1" applyFill="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0" borderId="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3" fillId="5" borderId="10" xfId="0" applyFont="1" applyFill="1" applyBorder="1" applyAlignment="1">
      <alignment horizontal="center"/>
    </xf>
  </cellXfs>
  <cellStyles count="4">
    <cellStyle name="Comma" xfId="2" builtinId="3"/>
    <cellStyle name="Hyperlink" xfId="1" builtinId="8"/>
    <cellStyle name="Normal" xfId="0" builtinId="0"/>
    <cellStyle name="Percent" xfId="3" builtinId="5"/>
  </cellStyles>
  <dxfs count="3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Weekly performance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Dashboard!$O$2:$O$3</c:f>
              <c:strCache>
                <c:ptCount val="2"/>
                <c:pt idx="0">
                  <c:v>Weekly performance</c:v>
                </c:pt>
                <c:pt idx="1">
                  <c:v>Week</c:v>
                </c:pt>
              </c:strCache>
            </c:strRef>
          </c:tx>
          <c:spPr>
            <a:solidFill>
              <a:schemeClr val="accent1"/>
            </a:solidFill>
            <a:ln>
              <a:noFill/>
            </a:ln>
            <a:effectLst/>
          </c:spPr>
          <c:invertIfNegative val="0"/>
          <c:cat>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cat>
          <c:val>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val>
        </c:ser>
        <c:ser>
          <c:idx val="1"/>
          <c:order val="1"/>
          <c:tx>
            <c:strRef>
              <c:f>Dashboard!$P$2:$P$3</c:f>
              <c:strCache>
                <c:ptCount val="2"/>
                <c:pt idx="0">
                  <c:v>Weekly performance</c:v>
                </c:pt>
                <c:pt idx="1">
                  <c:v>Strategy1 </c:v>
                </c:pt>
              </c:strCache>
            </c:strRef>
          </c:tx>
          <c:spPr>
            <a:solidFill>
              <a:schemeClr val="accent2"/>
            </a:solidFill>
            <a:ln>
              <a:noFill/>
            </a:ln>
            <a:effectLst/>
          </c:spPr>
          <c:invertIfNegative val="0"/>
          <c:cat>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cat>
          <c:val>
            <c:numRef>
              <c:extLst>
                <c:ext xmlns:c15="http://schemas.microsoft.com/office/drawing/2012/chart" uri="{02D57815-91ED-43cb-92C2-25804820EDAC}">
                  <c15:fullRef>
                    <c15:sqref>Dashboard!$P$4:$P$14</c15:sqref>
                  </c15:fullRef>
                </c:ext>
              </c:extLst>
              <c:f>Dashboard!$P$4:$P$10</c:f>
              <c:numCache>
                <c:formatCode>_(* #,##0_);_(* \(#,##0\);_(* "-"??_);_(@_)</c:formatCode>
                <c:ptCount val="7"/>
                <c:pt idx="0">
                  <c:v>0</c:v>
                </c:pt>
                <c:pt idx="1">
                  <c:v>-39101.786599999999</c:v>
                </c:pt>
                <c:pt idx="2">
                  <c:v>-22039.352440000002</c:v>
                </c:pt>
                <c:pt idx="3">
                  <c:v>-4254.0427750000017</c:v>
                </c:pt>
                <c:pt idx="4">
                  <c:v>37644.040359999999</c:v>
                </c:pt>
                <c:pt idx="5">
                  <c:v>21583.667600000001</c:v>
                </c:pt>
                <c:pt idx="6">
                  <c:v>41441.344000000005</c:v>
                </c:pt>
              </c:numCache>
            </c:numRef>
          </c:val>
        </c:ser>
        <c:ser>
          <c:idx val="2"/>
          <c:order val="2"/>
          <c:tx>
            <c:strRef>
              <c:f>Dashboard!$Q$2:$Q$3</c:f>
              <c:strCache>
                <c:ptCount val="2"/>
                <c:pt idx="0">
                  <c:v>Weekly performance</c:v>
                </c:pt>
                <c:pt idx="1">
                  <c:v>Strategy2</c:v>
                </c:pt>
              </c:strCache>
            </c:strRef>
          </c:tx>
          <c:spPr>
            <a:solidFill>
              <a:schemeClr val="accent3"/>
            </a:solidFill>
            <a:ln>
              <a:noFill/>
            </a:ln>
            <a:effectLst/>
          </c:spPr>
          <c:invertIfNegative val="0"/>
          <c:cat>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cat>
          <c:val>
            <c:numRef>
              <c:extLst>
                <c:ext xmlns:c15="http://schemas.microsoft.com/office/drawing/2012/chart" uri="{02D57815-91ED-43cb-92C2-25804820EDAC}">
                  <c15:fullRef>
                    <c15:sqref>Dashboard!$Q$4:$Q$14</c15:sqref>
                  </c15:fullRef>
                </c:ext>
              </c:extLst>
              <c:f>Dashboard!$Q$4:$Q$10</c:f>
              <c:numCache>
                <c:formatCode>_(* #,##0_);_(* \(#,##0\);_(* "-"??_);_(@_)</c:formatCode>
                <c:ptCount val="7"/>
                <c:pt idx="0">
                  <c:v>24352.871449999999</c:v>
                </c:pt>
                <c:pt idx="1">
                  <c:v>99528.343950000009</c:v>
                </c:pt>
                <c:pt idx="2">
                  <c:v>-76221.254950000002</c:v>
                </c:pt>
                <c:pt idx="3">
                  <c:v>39074.682809999998</c:v>
                </c:pt>
                <c:pt idx="4">
                  <c:v>93542.586349999998</c:v>
                </c:pt>
                <c:pt idx="5">
                  <c:v>56766.605224999992</c:v>
                </c:pt>
                <c:pt idx="6">
                  <c:v>-43979.224699999999</c:v>
                </c:pt>
              </c:numCache>
            </c:numRef>
          </c:val>
        </c:ser>
        <c:ser>
          <c:idx val="3"/>
          <c:order val="3"/>
          <c:tx>
            <c:strRef>
              <c:f>Dashboard!$R$2:$R$3</c:f>
              <c:strCache>
                <c:ptCount val="2"/>
                <c:pt idx="0">
                  <c:v>Weekly performance</c:v>
                </c:pt>
                <c:pt idx="1">
                  <c:v>Strategy3</c:v>
                </c:pt>
              </c:strCache>
            </c:strRef>
          </c:tx>
          <c:spPr>
            <a:solidFill>
              <a:schemeClr val="accent4"/>
            </a:solidFill>
            <a:ln>
              <a:noFill/>
            </a:ln>
            <a:effectLst/>
          </c:spPr>
          <c:invertIfNegative val="0"/>
          <c:cat>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cat>
          <c:val>
            <c:numRef>
              <c:extLst>
                <c:ext xmlns:c15="http://schemas.microsoft.com/office/drawing/2012/chart" uri="{02D57815-91ED-43cb-92C2-25804820EDAC}">
                  <c15:fullRef>
                    <c15:sqref>Dashboard!$R$4:$R$14</c15:sqref>
                  </c15:fullRef>
                </c:ext>
              </c:extLst>
              <c:f>Dashboard!$R$4:$R$10</c:f>
              <c:numCache>
                <c:formatCode>_(* #,##0_);_(* \(#,##0\);_(* "-"??_);_(@_)</c:formatCode>
                <c:ptCount val="7"/>
                <c:pt idx="0">
                  <c:v>-11291.10528</c:v>
                </c:pt>
                <c:pt idx="1">
                  <c:v>-4897.1824900000011</c:v>
                </c:pt>
                <c:pt idx="2">
                  <c:v>51674.417660000006</c:v>
                </c:pt>
                <c:pt idx="3">
                  <c:v>29255.574060000003</c:v>
                </c:pt>
                <c:pt idx="4">
                  <c:v>-24833.634739999998</c:v>
                </c:pt>
                <c:pt idx="5">
                  <c:v>-21152.08208</c:v>
                </c:pt>
                <c:pt idx="6">
                  <c:v>32417.052060000002</c:v>
                </c:pt>
              </c:numCache>
            </c:numRef>
          </c:val>
        </c:ser>
        <c:ser>
          <c:idx val="4"/>
          <c:order val="4"/>
          <c:tx>
            <c:strRef>
              <c:f>Dashboard!$S$2:$S$3</c:f>
              <c:strCache>
                <c:ptCount val="2"/>
                <c:pt idx="0">
                  <c:v>Weekly performance</c:v>
                </c:pt>
                <c:pt idx="1">
                  <c:v>Total</c:v>
                </c:pt>
              </c:strCache>
            </c:strRef>
          </c:tx>
          <c:spPr>
            <a:solidFill>
              <a:schemeClr val="accent5"/>
            </a:solidFill>
            <a:ln>
              <a:noFill/>
            </a:ln>
            <a:effectLst/>
          </c:spPr>
          <c:invertIfNegative val="0"/>
          <c:cat>
            <c:numRef>
              <c:extLst>
                <c:ext xmlns:c15="http://schemas.microsoft.com/office/drawing/2012/chart" uri="{02D57815-91ED-43cb-92C2-25804820EDAC}">
                  <c15:fullRef>
                    <c15:sqref>Dashboard!$O$4:$O$14</c15:sqref>
                  </c15:fullRef>
                </c:ext>
              </c:extLst>
              <c:f>Dashboard!$O$4:$O$10</c:f>
              <c:numCache>
                <c:formatCode>General</c:formatCode>
                <c:ptCount val="7"/>
                <c:pt idx="0">
                  <c:v>27</c:v>
                </c:pt>
                <c:pt idx="1">
                  <c:v>28</c:v>
                </c:pt>
                <c:pt idx="2">
                  <c:v>29</c:v>
                </c:pt>
                <c:pt idx="3">
                  <c:v>30</c:v>
                </c:pt>
                <c:pt idx="4">
                  <c:v>31</c:v>
                </c:pt>
                <c:pt idx="5">
                  <c:v>32</c:v>
                </c:pt>
                <c:pt idx="6">
                  <c:v>33</c:v>
                </c:pt>
              </c:numCache>
            </c:numRef>
          </c:cat>
          <c:val>
            <c:numRef>
              <c:extLst>
                <c:ext xmlns:c15="http://schemas.microsoft.com/office/drawing/2012/chart" uri="{02D57815-91ED-43cb-92C2-25804820EDAC}">
                  <c15:fullRef>
                    <c15:sqref>Dashboard!$S$4:$S$14</c15:sqref>
                  </c15:fullRef>
                </c:ext>
              </c:extLst>
              <c:f>Dashboard!$S$4:$S$10</c:f>
              <c:numCache>
                <c:formatCode>_(* #,##0_);_(* \(#,##0\);_(* "-"??_);_(@_)</c:formatCode>
                <c:ptCount val="7"/>
                <c:pt idx="0">
                  <c:v>13061.766169999999</c:v>
                </c:pt>
                <c:pt idx="1">
                  <c:v>55529.374860000011</c:v>
                </c:pt>
                <c:pt idx="2">
                  <c:v>-46586.189729999998</c:v>
                </c:pt>
                <c:pt idx="3">
                  <c:v>64076.214095000003</c:v>
                </c:pt>
                <c:pt idx="4">
                  <c:v>106352.99196999999</c:v>
                </c:pt>
                <c:pt idx="5">
                  <c:v>57198.190744999993</c:v>
                </c:pt>
                <c:pt idx="6">
                  <c:v>29879.171360000008</c:v>
                </c:pt>
              </c:numCache>
            </c:numRef>
          </c:val>
        </c:ser>
        <c:dLbls>
          <c:showLegendKey val="0"/>
          <c:showVal val="0"/>
          <c:showCatName val="0"/>
          <c:showSerName val="0"/>
          <c:showPercent val="0"/>
          <c:showBubbleSize val="0"/>
        </c:dLbls>
        <c:gapWidth val="219"/>
        <c:overlap val="-27"/>
        <c:axId val="538487600"/>
        <c:axId val="538487992"/>
      </c:barChart>
      <c:catAx>
        <c:axId val="5384876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Week no.</a:t>
                </a:r>
              </a:p>
            </c:rich>
          </c:tx>
          <c:layout>
            <c:manualLayout>
              <c:xMode val="edge"/>
              <c:yMode val="edge"/>
              <c:x val="0.40940301161541798"/>
              <c:y val="0.915561007135414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7992"/>
        <c:crosses val="autoZero"/>
        <c:auto val="1"/>
        <c:lblAlgn val="ctr"/>
        <c:lblOffset val="100"/>
        <c:noMultiLvlLbl val="0"/>
      </c:catAx>
      <c:valAx>
        <c:axId val="538487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a:t>
                </a:r>
                <a:r>
                  <a:rPr lang="en-US" baseline="0"/>
                  <a:t> P/L</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7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performance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multiLvlStrRef>
              <c:f>Dashboard!$U$2:$Y$3</c:f>
              <c:multiLvlStrCache>
                <c:ptCount val="5"/>
                <c:lvl>
                  <c:pt idx="0">
                    <c:v>Month</c:v>
                  </c:pt>
                  <c:pt idx="1">
                    <c:v>Strategy1 </c:v>
                  </c:pt>
                  <c:pt idx="2">
                    <c:v>Strategy2</c:v>
                  </c:pt>
                  <c:pt idx="3">
                    <c:v>Strategy3</c:v>
                  </c:pt>
                  <c:pt idx="4">
                    <c:v>Total</c:v>
                  </c:pt>
                </c:lvl>
                <c:lvl>
                  <c:pt idx="0">
                    <c:v>Monthly performance</c:v>
                  </c:pt>
                </c:lvl>
              </c:multiLvlStrCache>
            </c:multiLvlStrRef>
          </c:cat>
          <c:val>
            <c:numRef>
              <c:f>Dashboard!$U$4:$Y$4</c:f>
              <c:numCache>
                <c:formatCode>_(* #,##0_);_(* \(#,##0\);_(* "-"??_);_(@_)</c:formatCode>
                <c:ptCount val="5"/>
                <c:pt idx="0" formatCode="General">
                  <c:v>7</c:v>
                </c:pt>
                <c:pt idx="1">
                  <c:v>-54993.968455000009</c:v>
                </c:pt>
                <c:pt idx="2">
                  <c:v>166860.01885999998</c:v>
                </c:pt>
                <c:pt idx="3">
                  <c:v>64741.70395000001</c:v>
                </c:pt>
                <c:pt idx="4">
                  <c:v>176607.75435499998</c:v>
                </c:pt>
              </c:numCache>
            </c:numRef>
          </c:val>
        </c:ser>
        <c:ser>
          <c:idx val="1"/>
          <c:order val="1"/>
          <c:spPr>
            <a:solidFill>
              <a:schemeClr val="accent2"/>
            </a:solidFill>
            <a:ln>
              <a:noFill/>
            </a:ln>
            <a:effectLst/>
          </c:spPr>
          <c:invertIfNegative val="0"/>
          <c:cat>
            <c:multiLvlStrRef>
              <c:f>Dashboard!$U$2:$Y$3</c:f>
              <c:multiLvlStrCache>
                <c:ptCount val="5"/>
                <c:lvl>
                  <c:pt idx="0">
                    <c:v>Month</c:v>
                  </c:pt>
                  <c:pt idx="1">
                    <c:v>Strategy1 </c:v>
                  </c:pt>
                  <c:pt idx="2">
                    <c:v>Strategy2</c:v>
                  </c:pt>
                  <c:pt idx="3">
                    <c:v>Strategy3</c:v>
                  </c:pt>
                  <c:pt idx="4">
                    <c:v>Total</c:v>
                  </c:pt>
                </c:lvl>
                <c:lvl>
                  <c:pt idx="0">
                    <c:v>Monthly performance</c:v>
                  </c:pt>
                </c:lvl>
              </c:multiLvlStrCache>
            </c:multiLvlStrRef>
          </c:cat>
          <c:val>
            <c:numRef>
              <c:f>Dashboard!$U$5:$Y$5</c:f>
              <c:numCache>
                <c:formatCode>_(* #,##0_);_(* \(#,##0\);_(* "-"??_);_(@_)</c:formatCode>
                <c:ptCount val="5"/>
                <c:pt idx="0" formatCode="General">
                  <c:v>8</c:v>
                </c:pt>
                <c:pt idx="1">
                  <c:v>90267.838600000003</c:v>
                </c:pt>
                <c:pt idx="2">
                  <c:v>26204.59127500001</c:v>
                </c:pt>
                <c:pt idx="3">
                  <c:v>-13568.664760000001</c:v>
                </c:pt>
                <c:pt idx="4">
                  <c:v>102903.76511500002</c:v>
                </c:pt>
              </c:numCache>
            </c:numRef>
          </c:val>
        </c:ser>
        <c:ser>
          <c:idx val="2"/>
          <c:order val="2"/>
          <c:spPr>
            <a:solidFill>
              <a:schemeClr val="accent3"/>
            </a:solidFill>
            <a:ln>
              <a:noFill/>
            </a:ln>
            <a:effectLst/>
          </c:spPr>
          <c:invertIfNegative val="0"/>
          <c:cat>
            <c:multiLvlStrRef>
              <c:f>Dashboard!$U$2:$Y$3</c:f>
              <c:multiLvlStrCache>
                <c:ptCount val="5"/>
                <c:lvl>
                  <c:pt idx="0">
                    <c:v>Month</c:v>
                  </c:pt>
                  <c:pt idx="1">
                    <c:v>Strategy1 </c:v>
                  </c:pt>
                  <c:pt idx="2">
                    <c:v>Strategy2</c:v>
                  </c:pt>
                  <c:pt idx="3">
                    <c:v>Strategy3</c:v>
                  </c:pt>
                  <c:pt idx="4">
                    <c:v>Total</c:v>
                  </c:pt>
                </c:lvl>
                <c:lvl>
                  <c:pt idx="0">
                    <c:v>Monthly performance</c:v>
                  </c:pt>
                </c:lvl>
              </c:multiLvlStrCache>
            </c:multiLvlStrRef>
          </c:cat>
          <c:val>
            <c:numRef>
              <c:f>Dashboard!$U$6:$Y$6</c:f>
              <c:numCache>
                <c:formatCode>_(* #,##0_);_(* \(#,##0\);_(* "-"??_);_(@_)</c:formatCode>
                <c:ptCount val="5"/>
                <c:pt idx="0" formatCode="General">
                  <c:v>9</c:v>
                </c:pt>
                <c:pt idx="1">
                  <c:v>0</c:v>
                </c:pt>
                <c:pt idx="2">
                  <c:v>0</c:v>
                </c:pt>
                <c:pt idx="3">
                  <c:v>0</c:v>
                </c:pt>
                <c:pt idx="4">
                  <c:v>0</c:v>
                </c:pt>
              </c:numCache>
            </c:numRef>
          </c:val>
        </c:ser>
        <c:dLbls>
          <c:showLegendKey val="0"/>
          <c:showVal val="0"/>
          <c:showCatName val="0"/>
          <c:showSerName val="0"/>
          <c:showPercent val="0"/>
          <c:showBubbleSize val="0"/>
        </c:dLbls>
        <c:gapWidth val="219"/>
        <c:overlap val="-27"/>
        <c:axId val="538489168"/>
        <c:axId val="538489560"/>
      </c:barChart>
      <c:catAx>
        <c:axId val="53848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9560"/>
        <c:crosses val="autoZero"/>
        <c:auto val="1"/>
        <c:lblAlgn val="ctr"/>
        <c:lblOffset val="100"/>
        <c:noMultiLvlLbl val="0"/>
      </c:catAx>
      <c:valAx>
        <c:axId val="538489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489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66676</xdr:rowOff>
    </xdr:from>
    <xdr:to>
      <xdr:col>3</xdr:col>
      <xdr:colOff>561974</xdr:colOff>
      <xdr:row>7</xdr:row>
      <xdr:rowOff>123826</xdr:rowOff>
    </xdr:to>
    <xdr:sp macro="" textlink="">
      <xdr:nvSpPr>
        <xdr:cNvPr id="2" name="TextBox 1"/>
        <xdr:cNvSpPr txBox="1"/>
      </xdr:nvSpPr>
      <xdr:spPr>
        <a:xfrm>
          <a:off x="66675" y="638176"/>
          <a:ext cx="2686049" cy="819150"/>
        </a:xfrm>
        <a:prstGeom prst="rect">
          <a:avLst/>
        </a:prstGeom>
        <a:solidFill>
          <a:schemeClr val="tx2">
            <a:lumMod val="60000"/>
            <a:lumOff val="40000"/>
          </a:schemeClr>
        </a:solidFill>
        <a:ln w="9525"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For any clarifications/ suggestions, kindly reach out to me at </a:t>
          </a:r>
        </a:p>
        <a:p>
          <a:r>
            <a:rPr lang="en-US" sz="1100" b="0"/>
            <a:t>Twitter handle '</a:t>
          </a:r>
          <a:r>
            <a:rPr lang="en-US" sz="1100" b="1"/>
            <a:t>voPATrader</a:t>
          </a:r>
          <a:r>
            <a:rPr lang="en-US" sz="1100" b="0"/>
            <a:t>' or </a:t>
          </a:r>
        </a:p>
        <a:p>
          <a:r>
            <a:rPr lang="en-US" sz="1100" b="0"/>
            <a:t>mail id: </a:t>
          </a:r>
          <a:r>
            <a:rPr lang="en-US" sz="1100" b="1"/>
            <a:t>vopatrader@gmail.com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142875</xdr:colOff>
      <xdr:row>2</xdr:row>
      <xdr:rowOff>57150</xdr:rowOff>
    </xdr:from>
    <xdr:to>
      <xdr:col>35</xdr:col>
      <xdr:colOff>47625</xdr:colOff>
      <xdr:row>7</xdr:row>
      <xdr:rowOff>19050</xdr:rowOff>
    </xdr:to>
    <xdr:sp macro="" textlink="">
      <xdr:nvSpPr>
        <xdr:cNvPr id="2" name="Rectangle 1"/>
        <xdr:cNvSpPr/>
      </xdr:nvSpPr>
      <xdr:spPr>
        <a:xfrm>
          <a:off x="16792575" y="438150"/>
          <a:ext cx="4991100"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Dont remove fields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2</xdr:row>
      <xdr:rowOff>19050</xdr:rowOff>
    </xdr:from>
    <xdr:to>
      <xdr:col>11</xdr:col>
      <xdr:colOff>523875</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4</xdr:row>
      <xdr:rowOff>104775</xdr:rowOff>
    </xdr:from>
    <xdr:to>
      <xdr:col>19</xdr:col>
      <xdr:colOff>381000</xdr:colOff>
      <xdr:row>18</xdr:row>
      <xdr:rowOff>180975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438150</xdr:colOff>
      <xdr:row>13</xdr:row>
      <xdr:rowOff>161925</xdr:rowOff>
    </xdr:from>
    <xdr:to>
      <xdr:col>13</xdr:col>
      <xdr:colOff>114300</xdr:colOff>
      <xdr:row>17</xdr:row>
      <xdr:rowOff>180975</xdr:rowOff>
    </xdr:to>
    <xdr:sp macro="" textlink="">
      <xdr:nvSpPr>
        <xdr:cNvPr id="2" name="TextBox 1"/>
        <xdr:cNvSpPr txBox="1"/>
      </xdr:nvSpPr>
      <xdr:spPr>
        <a:xfrm>
          <a:off x="6619875" y="2619375"/>
          <a:ext cx="3333750" cy="781050"/>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Source: </a:t>
          </a:r>
          <a:r>
            <a:rPr lang="en-US" sz="1100"/>
            <a:t>https://www.nseindia.com/products/content/derivatives/equities/bank_nifty_fando.htm</a:t>
          </a:r>
        </a:p>
        <a:p>
          <a:r>
            <a:rPr lang="en-US" sz="1100"/>
            <a:t>Update it every few months, to ensure latest lot sizes.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http://widgets.markets.com/en/myaccount/mt4report/?page=1&amp;orderBy=VOLUME&amp;direction=asc&amp;page=2&amp;type=real&amp;product_id=1876967"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tabSelected="1" workbookViewId="0"/>
  </sheetViews>
  <sheetFormatPr defaultRowHeight="15"/>
  <cols>
    <col min="1" max="1" width="2.28515625" customWidth="1"/>
    <col min="3" max="3" width="26.28515625" customWidth="1"/>
    <col min="4" max="4" width="10.85546875" customWidth="1"/>
    <col min="5" max="5" width="6.5703125" customWidth="1"/>
  </cols>
  <sheetData>
    <row r="1" spans="1:16">
      <c r="D1" s="6"/>
    </row>
    <row r="2" spans="1:16">
      <c r="D2" s="6" t="s">
        <v>529</v>
      </c>
      <c r="E2" s="93" t="s">
        <v>553</v>
      </c>
      <c r="F2" s="37" t="s">
        <v>530</v>
      </c>
    </row>
    <row r="3" spans="1:16">
      <c r="F3" t="s">
        <v>546</v>
      </c>
    </row>
    <row r="4" spans="1:16">
      <c r="E4" s="20" t="s">
        <v>554</v>
      </c>
    </row>
    <row r="5" spans="1:16">
      <c r="E5" s="20" t="s">
        <v>552</v>
      </c>
    </row>
    <row r="6" spans="1:16">
      <c r="E6" s="20" t="s">
        <v>564</v>
      </c>
    </row>
    <row r="7" spans="1:16">
      <c r="E7" s="20" t="s">
        <v>551</v>
      </c>
    </row>
    <row r="8" spans="1:16">
      <c r="E8" s="20" t="s">
        <v>565</v>
      </c>
    </row>
    <row r="10" spans="1:16" ht="15.75" thickBot="1"/>
    <row r="11" spans="1:16">
      <c r="A11" s="63"/>
      <c r="B11" s="14"/>
      <c r="C11" s="14"/>
      <c r="D11" s="14"/>
      <c r="E11" s="14"/>
      <c r="F11" s="14"/>
      <c r="G11" s="14"/>
      <c r="H11" s="14"/>
      <c r="I11" s="14"/>
      <c r="J11" s="14"/>
      <c r="K11" s="14"/>
      <c r="L11" s="14"/>
      <c r="M11" s="14"/>
      <c r="N11" s="14"/>
      <c r="O11" s="14"/>
      <c r="P11" s="64"/>
    </row>
    <row r="12" spans="1:16">
      <c r="A12" s="65"/>
      <c r="B12" s="70" t="s">
        <v>525</v>
      </c>
      <c r="C12" s="4"/>
      <c r="D12" s="4"/>
      <c r="E12" s="4"/>
      <c r="F12" s="4"/>
      <c r="G12" s="4"/>
      <c r="H12" s="4"/>
      <c r="I12" s="4"/>
      <c r="J12" s="4"/>
      <c r="K12" s="4"/>
      <c r="L12" s="4"/>
      <c r="M12" s="4"/>
      <c r="N12" s="4"/>
      <c r="O12" s="4"/>
      <c r="P12" s="66"/>
    </row>
    <row r="13" spans="1:16">
      <c r="A13" s="65"/>
      <c r="B13" s="70" t="s">
        <v>9</v>
      </c>
      <c r="C13" s="4" t="s">
        <v>517</v>
      </c>
      <c r="D13" s="4" t="s">
        <v>518</v>
      </c>
      <c r="F13" s="4"/>
      <c r="G13" s="4"/>
      <c r="H13" s="4"/>
      <c r="I13" s="4"/>
      <c r="J13" s="4"/>
      <c r="K13" s="4"/>
      <c r="L13" s="4"/>
      <c r="M13" s="4"/>
      <c r="N13" s="4"/>
      <c r="O13" s="4"/>
      <c r="P13" s="66"/>
    </row>
    <row r="14" spans="1:16">
      <c r="A14" s="65"/>
      <c r="B14" s="4"/>
      <c r="C14" s="4" t="s">
        <v>519</v>
      </c>
      <c r="D14" s="4" t="s">
        <v>520</v>
      </c>
      <c r="F14" s="4"/>
      <c r="G14" s="4"/>
      <c r="H14" s="4"/>
      <c r="I14" s="4"/>
      <c r="J14" s="4"/>
      <c r="K14" s="4"/>
      <c r="L14" s="4"/>
      <c r="M14" s="4"/>
      <c r="N14" s="4"/>
      <c r="O14" s="4"/>
      <c r="P14" s="66"/>
    </row>
    <row r="15" spans="1:16">
      <c r="A15" s="65"/>
      <c r="B15" s="4"/>
      <c r="C15" s="4" t="s">
        <v>521</v>
      </c>
      <c r="D15" s="4" t="s">
        <v>566</v>
      </c>
      <c r="F15" s="4"/>
      <c r="G15" s="4"/>
      <c r="H15" s="4"/>
      <c r="I15" s="4"/>
      <c r="J15" s="4"/>
      <c r="K15" s="4"/>
      <c r="L15" s="4"/>
      <c r="M15" s="4"/>
      <c r="N15" s="4"/>
      <c r="O15" s="4"/>
      <c r="P15" s="66"/>
    </row>
    <row r="16" spans="1:16">
      <c r="A16" s="65"/>
      <c r="B16" s="4"/>
      <c r="C16" s="4" t="s">
        <v>524</v>
      </c>
      <c r="D16" s="4" t="s">
        <v>526</v>
      </c>
      <c r="F16" s="4"/>
      <c r="G16" s="4"/>
      <c r="H16" s="4"/>
      <c r="I16" s="4"/>
      <c r="J16" s="4"/>
      <c r="K16" s="4"/>
      <c r="L16" s="4"/>
      <c r="M16" s="4"/>
      <c r="N16" s="4"/>
      <c r="O16" s="4"/>
      <c r="P16" s="66"/>
    </row>
    <row r="17" spans="1:16">
      <c r="A17" s="65"/>
      <c r="B17" s="4"/>
      <c r="C17" s="4" t="s">
        <v>527</v>
      </c>
      <c r="D17" s="4" t="s">
        <v>531</v>
      </c>
      <c r="F17" s="4"/>
      <c r="G17" s="4"/>
      <c r="H17" s="4"/>
      <c r="I17" s="4"/>
      <c r="J17" s="4"/>
      <c r="K17" s="4"/>
      <c r="L17" s="4"/>
      <c r="M17" s="4"/>
      <c r="N17" s="4"/>
      <c r="O17" s="4"/>
      <c r="P17" s="66"/>
    </row>
    <row r="18" spans="1:16">
      <c r="A18" s="65"/>
      <c r="B18" s="4"/>
      <c r="C18" s="4"/>
      <c r="D18" s="4"/>
      <c r="F18" s="4"/>
      <c r="G18" s="4"/>
      <c r="H18" s="4"/>
      <c r="I18" s="4"/>
      <c r="J18" s="4"/>
      <c r="K18" s="4"/>
      <c r="L18" s="4"/>
      <c r="M18" s="4"/>
      <c r="N18" s="4"/>
      <c r="O18" s="4"/>
      <c r="P18" s="66"/>
    </row>
    <row r="19" spans="1:16">
      <c r="A19" s="65"/>
      <c r="B19" s="70" t="s">
        <v>10</v>
      </c>
      <c r="C19" s="4" t="s">
        <v>517</v>
      </c>
      <c r="D19" s="4" t="s">
        <v>522</v>
      </c>
      <c r="F19" s="4"/>
      <c r="G19" s="4"/>
      <c r="H19" s="4"/>
      <c r="I19" s="4"/>
      <c r="J19" s="4"/>
      <c r="K19" s="4"/>
      <c r="L19" s="4"/>
      <c r="M19" s="4"/>
      <c r="N19" s="4"/>
      <c r="O19" s="4"/>
      <c r="P19" s="66"/>
    </row>
    <row r="20" spans="1:16">
      <c r="A20" s="65"/>
      <c r="B20" s="4"/>
      <c r="C20" s="4" t="s">
        <v>519</v>
      </c>
      <c r="D20" s="4" t="s">
        <v>523</v>
      </c>
      <c r="F20" s="4"/>
      <c r="G20" s="4"/>
      <c r="H20" s="4"/>
      <c r="I20" s="4"/>
      <c r="J20" s="4"/>
      <c r="K20" s="4"/>
      <c r="L20" s="4"/>
      <c r="M20" s="4"/>
      <c r="N20" s="4"/>
      <c r="O20" s="4"/>
      <c r="P20" s="66"/>
    </row>
    <row r="21" spans="1:16">
      <c r="A21" s="65"/>
      <c r="B21" s="4"/>
      <c r="C21" s="4" t="s">
        <v>524</v>
      </c>
      <c r="D21" s="4" t="s">
        <v>532</v>
      </c>
      <c r="F21" s="4"/>
      <c r="G21" s="4"/>
      <c r="H21" s="4"/>
      <c r="I21" s="4"/>
      <c r="J21" s="4"/>
      <c r="K21" s="4"/>
      <c r="L21" s="4"/>
      <c r="M21" s="4"/>
      <c r="N21" s="4"/>
      <c r="O21" s="4"/>
      <c r="P21" s="66"/>
    </row>
    <row r="22" spans="1:16">
      <c r="A22" s="65"/>
      <c r="B22" s="4"/>
      <c r="C22" s="4" t="s">
        <v>558</v>
      </c>
      <c r="D22" s="4" t="s">
        <v>559</v>
      </c>
      <c r="E22" s="4"/>
      <c r="F22" s="4"/>
      <c r="G22" s="4"/>
      <c r="H22" s="4"/>
      <c r="I22" s="4"/>
      <c r="J22" s="4"/>
      <c r="K22" s="4"/>
      <c r="L22" s="4"/>
      <c r="M22" s="4"/>
      <c r="N22" s="4"/>
      <c r="O22" s="4"/>
      <c r="P22" s="66"/>
    </row>
    <row r="23" spans="1:16">
      <c r="A23" s="65"/>
      <c r="B23" s="4"/>
      <c r="C23" s="4"/>
      <c r="D23" s="4"/>
      <c r="E23" s="4"/>
      <c r="F23" s="4"/>
      <c r="G23" s="4"/>
      <c r="H23" s="4"/>
      <c r="I23" s="4"/>
      <c r="J23" s="4"/>
      <c r="K23" s="4"/>
      <c r="L23" s="4"/>
      <c r="M23" s="4"/>
      <c r="N23" s="4"/>
      <c r="O23" s="4"/>
      <c r="P23" s="66"/>
    </row>
    <row r="24" spans="1:16">
      <c r="A24" s="65"/>
      <c r="B24" s="70" t="s">
        <v>494</v>
      </c>
      <c r="C24" s="4"/>
      <c r="D24" s="4"/>
      <c r="E24" s="4"/>
      <c r="F24" s="4"/>
      <c r="G24" s="4"/>
      <c r="H24" s="4"/>
      <c r="I24" s="4"/>
      <c r="J24" s="4"/>
      <c r="K24" s="4"/>
      <c r="L24" s="4"/>
      <c r="M24" s="4"/>
      <c r="N24" s="4"/>
      <c r="O24" s="4"/>
      <c r="P24" s="66"/>
    </row>
    <row r="25" spans="1:16" ht="76.5" customHeight="1">
      <c r="A25" s="65"/>
      <c r="B25" s="4"/>
      <c r="C25" s="71" t="s">
        <v>528</v>
      </c>
      <c r="D25" s="117" t="s">
        <v>567</v>
      </c>
      <c r="E25" s="117"/>
      <c r="F25" s="117"/>
      <c r="G25" s="117"/>
      <c r="H25" s="117"/>
      <c r="I25" s="117"/>
      <c r="J25" s="117"/>
      <c r="K25" s="117"/>
      <c r="L25" s="117"/>
      <c r="M25" s="117"/>
      <c r="N25" s="117"/>
      <c r="O25" s="117"/>
      <c r="P25" s="118"/>
    </row>
    <row r="26" spans="1:16" ht="15.75" thickBot="1">
      <c r="A26" s="67"/>
      <c r="B26" s="68"/>
      <c r="C26" s="68"/>
      <c r="D26" s="68"/>
      <c r="E26" s="68"/>
      <c r="F26" s="68"/>
      <c r="G26" s="68"/>
      <c r="H26" s="68"/>
      <c r="I26" s="68"/>
      <c r="J26" s="68"/>
      <c r="K26" s="68"/>
      <c r="L26" s="68"/>
      <c r="M26" s="68"/>
      <c r="N26" s="68"/>
      <c r="O26" s="68"/>
      <c r="P26" s="69"/>
    </row>
  </sheetData>
  <mergeCells count="1">
    <mergeCell ref="D25:P2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workbookViewId="0"/>
  </sheetViews>
  <sheetFormatPr defaultRowHeight="15"/>
  <cols>
    <col min="1" max="1" width="21.85546875" customWidth="1"/>
    <col min="2" max="2" width="15.5703125" customWidth="1"/>
    <col min="3" max="3" width="41.42578125" bestFit="1" customWidth="1"/>
    <col min="5" max="5" width="10.5703125" bestFit="1" customWidth="1"/>
  </cols>
  <sheetData>
    <row r="2" spans="1:4">
      <c r="A2" s="89" t="s">
        <v>555</v>
      </c>
      <c r="B2" s="116">
        <v>2000000</v>
      </c>
      <c r="C2" s="5"/>
      <c r="D2" s="5"/>
    </row>
    <row r="3" spans="1:4">
      <c r="A3" s="81" t="s">
        <v>556</v>
      </c>
      <c r="B3" s="42">
        <f>B2+'Trade journal'!AN1</f>
        <v>2279511.5194699997</v>
      </c>
      <c r="C3" s="5"/>
      <c r="D3" s="5"/>
    </row>
    <row r="5" spans="1:4">
      <c r="A5" s="119" t="s">
        <v>470</v>
      </c>
      <c r="B5" s="120"/>
      <c r="C5" s="74" t="s">
        <v>539</v>
      </c>
    </row>
    <row r="6" spans="1:4">
      <c r="A6" s="75" t="s">
        <v>478</v>
      </c>
      <c r="B6" s="78">
        <v>0.01</v>
      </c>
      <c r="C6" s="72" t="s">
        <v>537</v>
      </c>
    </row>
    <row r="7" spans="1:4">
      <c r="A7" s="75" t="s">
        <v>476</v>
      </c>
      <c r="B7" s="79">
        <v>0.02</v>
      </c>
      <c r="C7" s="72" t="s">
        <v>536</v>
      </c>
    </row>
    <row r="8" spans="1:4">
      <c r="A8" s="76" t="s">
        <v>477</v>
      </c>
      <c r="B8" s="80">
        <v>5.0000000000000001E-3</v>
      </c>
      <c r="C8" s="73" t="s">
        <v>538</v>
      </c>
    </row>
    <row r="9" spans="1:4">
      <c r="A9" s="77"/>
    </row>
  </sheetData>
  <mergeCells count="1">
    <mergeCell ref="A5: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BD59"/>
  <sheetViews>
    <sheetView zoomScale="120" zoomScaleNormal="120" workbookViewId="0">
      <pane xSplit="1" ySplit="3" topLeftCell="B4" activePane="bottomRight" state="frozen"/>
      <selection activeCell="B1" sqref="B1"/>
      <selection pane="topRight" activeCell="B1" sqref="B1"/>
      <selection pane="bottomLeft" activeCell="B1" sqref="B1"/>
      <selection pane="bottomRight" activeCell="B4" sqref="B4"/>
    </sheetView>
  </sheetViews>
  <sheetFormatPr defaultRowHeight="15" outlineLevelCol="1"/>
  <cols>
    <col min="1" max="1" width="5.7109375" style="1" bestFit="1" customWidth="1"/>
    <col min="2" max="2" width="7" style="1" bestFit="1" customWidth="1"/>
    <col min="3" max="3" width="11.28515625" style="1" customWidth="1"/>
    <col min="4" max="4" width="7.28515625" style="1" hidden="1" customWidth="1" outlineLevel="1"/>
    <col min="5" max="5" width="6.28515625" style="1" hidden="1" customWidth="1" outlineLevel="1"/>
    <col min="6" max="6" width="6.5703125" style="1" hidden="1" customWidth="1" outlineLevel="1"/>
    <col min="7" max="7" width="7.7109375" style="1" customWidth="1" collapsed="1"/>
    <col min="8" max="8" width="10" style="1" bestFit="1" customWidth="1"/>
    <col min="9" max="9" width="11.5703125" style="1" bestFit="1" customWidth="1"/>
    <col min="10" max="10" width="8.42578125" style="1" customWidth="1"/>
    <col min="11" max="11" width="9.85546875" style="1" bestFit="1" customWidth="1"/>
    <col min="12" max="12" width="5.42578125" style="1" customWidth="1"/>
    <col min="13" max="14" width="10.7109375" style="1" bestFit="1" customWidth="1"/>
    <col min="15" max="15" width="10.5703125" style="1" bestFit="1" customWidth="1"/>
    <col min="16" max="16" width="7.5703125" style="1" customWidth="1"/>
    <col min="17" max="17" width="6.28515625" style="1" customWidth="1"/>
    <col min="18" max="18" width="7.7109375" style="1" customWidth="1"/>
    <col min="19" max="19" width="6.42578125" style="1" bestFit="1" customWidth="1"/>
    <col min="20" max="20" width="21" style="35" bestFit="1" customWidth="1"/>
    <col min="21" max="21" width="9.140625" style="1" bestFit="1" customWidth="1"/>
    <col min="22" max="22" width="10.5703125" style="1" customWidth="1"/>
    <col min="23" max="23" width="13" style="1" customWidth="1"/>
    <col min="24" max="25" width="13.42578125" style="1" hidden="1" customWidth="1" outlineLevel="1"/>
    <col min="26" max="26" width="18.140625" style="1" hidden="1" customWidth="1" outlineLevel="1"/>
    <col min="27" max="28" width="11.28515625" style="1" hidden="1" customWidth="1" outlineLevel="1"/>
    <col min="29" max="29" width="13.42578125" style="1" hidden="1" customWidth="1" outlineLevel="1"/>
    <col min="30" max="30" width="9.5703125" style="12" bestFit="1" customWidth="1" collapsed="1"/>
    <col min="31" max="31" width="11.85546875" style="1" hidden="1" customWidth="1" outlineLevel="1"/>
    <col min="32" max="32" width="13.42578125" style="1" hidden="1" customWidth="1" outlineLevel="1"/>
    <col min="33" max="33" width="29.140625" style="1" hidden="1" customWidth="1" outlineLevel="1"/>
    <col min="34" max="34" width="6.85546875" style="1" hidden="1" customWidth="1" outlineLevel="1"/>
    <col min="35" max="35" width="8" style="1" hidden="1" customWidth="1" outlineLevel="1"/>
    <col min="36" max="38" width="6.85546875" style="1" hidden="1" customWidth="1" outlineLevel="1"/>
    <col min="39" max="39" width="13" style="1" hidden="1" customWidth="1" outlineLevel="1"/>
    <col min="40" max="40" width="11" style="12" customWidth="1" collapsed="1"/>
    <col min="41" max="41" width="22" style="1" bestFit="1" customWidth="1"/>
    <col min="42" max="43" width="10.5703125" style="1" customWidth="1"/>
    <col min="44" max="44" width="1.42578125" style="2" customWidth="1"/>
    <col min="45" max="45" width="11.5703125" style="1" customWidth="1"/>
    <col min="46" max="46" width="15.7109375" style="1" bestFit="1" customWidth="1"/>
    <col min="47" max="47" width="20.5703125" style="1" bestFit="1" customWidth="1"/>
    <col min="48" max="49" width="9.140625" style="1"/>
    <col min="50" max="56" width="9.140625" style="1" customWidth="1" outlineLevel="1"/>
    <col min="57" max="57" width="10.5703125" style="1" bestFit="1" customWidth="1"/>
    <col min="58" max="16384" width="9.140625" style="1"/>
  </cols>
  <sheetData>
    <row r="1" spans="1:47" ht="24" customHeight="1">
      <c r="A1" s="3"/>
      <c r="C1" s="123" t="s">
        <v>481</v>
      </c>
      <c r="D1" s="124"/>
      <c r="E1" s="124"/>
      <c r="F1" s="124"/>
      <c r="G1" s="124"/>
      <c r="H1" s="124"/>
      <c r="I1" s="124"/>
      <c r="J1" s="124"/>
      <c r="K1" s="124"/>
      <c r="L1" s="124"/>
      <c r="M1" s="124"/>
      <c r="N1" s="124"/>
      <c r="O1" s="124"/>
      <c r="P1" s="124"/>
      <c r="Q1" s="124"/>
      <c r="R1" s="124"/>
      <c r="S1" s="125"/>
      <c r="V1" s="5"/>
      <c r="W1" s="12"/>
      <c r="X1" s="129" t="s">
        <v>488</v>
      </c>
      <c r="Y1" s="129"/>
      <c r="Z1" s="129"/>
      <c r="AA1" s="129"/>
      <c r="AB1" s="129"/>
      <c r="AC1" s="129"/>
      <c r="AE1" s="5"/>
      <c r="AF1" s="5"/>
      <c r="AG1" s="5"/>
      <c r="AH1" s="5"/>
      <c r="AI1" s="5"/>
      <c r="AJ1" s="5"/>
      <c r="AL1" s="5" t="s">
        <v>469</v>
      </c>
      <c r="AN1" s="114">
        <f>SUM(AN4:AN4999)</f>
        <v>279511.51946999994</v>
      </c>
      <c r="AO1" s="70" t="s">
        <v>563</v>
      </c>
      <c r="AP1" s="5"/>
      <c r="AQ1" s="5"/>
      <c r="AR1" s="5"/>
    </row>
    <row r="2" spans="1:47" ht="14.25" customHeight="1">
      <c r="A2" s="5"/>
      <c r="I2" s="5"/>
      <c r="P2" s="127" t="s">
        <v>570</v>
      </c>
      <c r="Q2" s="121"/>
      <c r="R2" s="121" t="s">
        <v>479</v>
      </c>
      <c r="S2" s="128"/>
      <c r="V2" s="5"/>
      <c r="W2" s="5"/>
      <c r="X2" s="122" t="s">
        <v>550</v>
      </c>
      <c r="Y2" s="122"/>
      <c r="Z2" s="122"/>
      <c r="AA2" s="122" t="s">
        <v>491</v>
      </c>
      <c r="AB2" s="122"/>
      <c r="AC2" s="122"/>
      <c r="AD2" s="5"/>
      <c r="AE2" s="122" t="s">
        <v>482</v>
      </c>
      <c r="AF2" s="122"/>
      <c r="AG2" s="122"/>
      <c r="AH2" s="122"/>
      <c r="AI2" s="122"/>
      <c r="AJ2" s="122"/>
      <c r="AK2" s="122"/>
      <c r="AL2" s="122"/>
      <c r="AM2" s="122"/>
      <c r="AN2" s="5"/>
      <c r="AO2" s="5"/>
      <c r="AP2" s="126" t="s">
        <v>516</v>
      </c>
      <c r="AQ2" s="126"/>
      <c r="AR2" s="5"/>
      <c r="AS2" s="121" t="s">
        <v>474</v>
      </c>
      <c r="AT2" s="121"/>
      <c r="AU2" s="121"/>
    </row>
    <row r="3" spans="1:47" s="33" customFormat="1" ht="23.25" customHeight="1">
      <c r="A3" s="32" t="s">
        <v>3</v>
      </c>
      <c r="B3" s="32" t="s">
        <v>28</v>
      </c>
      <c r="C3" s="32" t="s">
        <v>29</v>
      </c>
      <c r="D3" s="32" t="s">
        <v>8</v>
      </c>
      <c r="E3" s="32" t="s">
        <v>7</v>
      </c>
      <c r="F3" s="32" t="s">
        <v>6</v>
      </c>
      <c r="G3" s="32" t="s">
        <v>25</v>
      </c>
      <c r="H3" s="23" t="s">
        <v>30</v>
      </c>
      <c r="I3" s="23" t="s">
        <v>31</v>
      </c>
      <c r="J3" s="23" t="s">
        <v>1</v>
      </c>
      <c r="K3" s="23" t="s">
        <v>472</v>
      </c>
      <c r="L3" s="23" t="s">
        <v>489</v>
      </c>
      <c r="M3" s="23" t="s">
        <v>32</v>
      </c>
      <c r="N3" s="23" t="s">
        <v>34</v>
      </c>
      <c r="O3" s="23" t="s">
        <v>27</v>
      </c>
      <c r="P3" s="83" t="s">
        <v>23</v>
      </c>
      <c r="Q3" s="62" t="s">
        <v>2</v>
      </c>
      <c r="R3" s="62" t="s">
        <v>2</v>
      </c>
      <c r="S3" s="84" t="s">
        <v>23</v>
      </c>
      <c r="T3" s="36" t="s">
        <v>480</v>
      </c>
      <c r="U3" s="23" t="s">
        <v>33</v>
      </c>
      <c r="V3" s="32" t="s">
        <v>468</v>
      </c>
      <c r="W3" s="32" t="s">
        <v>487</v>
      </c>
      <c r="X3" s="23" t="s">
        <v>484</v>
      </c>
      <c r="Y3" s="23" t="s">
        <v>485</v>
      </c>
      <c r="Z3" s="32" t="s">
        <v>486</v>
      </c>
      <c r="AA3" s="22" t="s">
        <v>490</v>
      </c>
      <c r="AB3" s="22" t="s">
        <v>492</v>
      </c>
      <c r="AC3" s="22" t="s">
        <v>493</v>
      </c>
      <c r="AD3" s="32" t="s">
        <v>483</v>
      </c>
      <c r="AE3" s="23" t="s">
        <v>18</v>
      </c>
      <c r="AF3" s="23" t="s">
        <v>21</v>
      </c>
      <c r="AG3" s="23" t="s">
        <v>544</v>
      </c>
      <c r="AH3" s="23" t="s">
        <v>16</v>
      </c>
      <c r="AI3" s="23" t="s">
        <v>545</v>
      </c>
      <c r="AJ3" s="23" t="s">
        <v>20</v>
      </c>
      <c r="AK3" s="23" t="s">
        <v>19</v>
      </c>
      <c r="AL3" s="23" t="s">
        <v>22</v>
      </c>
      <c r="AM3" s="23" t="s">
        <v>17</v>
      </c>
      <c r="AN3" s="23" t="s">
        <v>24</v>
      </c>
      <c r="AO3" s="23" t="s">
        <v>549</v>
      </c>
      <c r="AP3" s="92" t="s">
        <v>9</v>
      </c>
      <c r="AQ3" s="92" t="s">
        <v>10</v>
      </c>
      <c r="AR3" s="23"/>
      <c r="AS3" s="23" t="s">
        <v>473</v>
      </c>
      <c r="AT3" s="23" t="s">
        <v>512</v>
      </c>
      <c r="AU3" s="23" t="s">
        <v>475</v>
      </c>
    </row>
    <row r="4" spans="1:47" ht="0.75" customHeight="1" thickBot="1">
      <c r="B4" s="10"/>
      <c r="C4" s="17"/>
      <c r="D4" s="44"/>
      <c r="E4" s="44"/>
      <c r="F4" s="31"/>
      <c r="G4" s="10"/>
      <c r="H4" s="10"/>
      <c r="I4"/>
      <c r="J4" s="10"/>
      <c r="K4" s="5"/>
      <c r="L4" s="5"/>
      <c r="N4" s="7"/>
      <c r="O4" s="25"/>
      <c r="P4" s="38"/>
      <c r="Q4" s="82"/>
      <c r="R4" s="5"/>
      <c r="S4" s="39"/>
      <c r="V4" s="27"/>
      <c r="W4" s="26"/>
      <c r="X4" s="12"/>
      <c r="Y4" s="12"/>
      <c r="Z4" s="12"/>
      <c r="AD4" s="9"/>
      <c r="AE4" s="29">
        <f t="shared" ref="AE4:AE7" si="0">IF(G4="EqOpt",(R4*O4*(100+U4-M4)),(M4+U4)*O4*R4)</f>
        <v>0</v>
      </c>
      <c r="AF4" s="29" t="b">
        <f t="shared" ref="AF4:AF7" si="1">IF(G4="EqCash",IF(H4="Pos",AE4*0.1%,0.025%*O4*R4*IF(J4="Sell",M4,U4)),IF(G4="EqFut",0.01%*O4*R4*IF(J4="Sell",M4,U4),IF(G4="EqOpt",0.05%*O4*R4*IF(J4="Sell",M4,U4))))</f>
        <v>0</v>
      </c>
      <c r="AG4" s="29" t="b">
        <f t="shared" ref="AG4:AG7" si="2">IF(G4="EqFut",AE4*200/10000000,IF(G4="EqCash",AE4*325/10000000,IF(G4="EqOpt",AE4*5300/10000000)))</f>
        <v>0</v>
      </c>
      <c r="AH4" s="29">
        <f t="shared" ref="AH4:AH7" si="3">IF(G4="EqOpt",40,MIN(40,AE4*IF(AND(G4="EqCash",H4="Pos"),0.1%,0.01%)))</f>
        <v>0</v>
      </c>
      <c r="AI4" s="87">
        <f t="shared" ref="AI4:AI7" si="4">18%*(AG4+AH4)</f>
        <v>0</v>
      </c>
      <c r="AJ4" s="87">
        <f t="shared" ref="AJ4:AJ7" si="5">15*AE4/10000000</f>
        <v>0</v>
      </c>
      <c r="AK4" s="29"/>
      <c r="AL4" s="29" t="b">
        <f t="shared" ref="AL4:AL7" si="6">IF(G4="EqFut",AE4*0.002%,IF(AND(G4="EqCash",H4="Pos"),AE4*0.01%,IF(AND(G4="EqCash",H4="Intra"),AE4*0.002%,IF(G4="EqOpt",AE4*0.002%))))</f>
        <v>0</v>
      </c>
      <c r="AM4" s="29">
        <f t="shared" ref="AM4:AM7" si="7">SUM(AF4:AL4)</f>
        <v>0</v>
      </c>
      <c r="AN4" s="13"/>
      <c r="AO4" s="34"/>
      <c r="AP4" s="19"/>
      <c r="AQ4" s="19"/>
      <c r="AS4" s="30"/>
      <c r="AT4" s="30"/>
      <c r="AU4" s="43"/>
    </row>
    <row r="5" spans="1:47">
      <c r="A5" s="10">
        <f>A4+1</f>
        <v>1</v>
      </c>
      <c r="B5" s="10" t="s">
        <v>13</v>
      </c>
      <c r="C5" s="17">
        <v>43287</v>
      </c>
      <c r="D5" s="44">
        <f t="shared" ref="D5:D54" si="8">MONTH(C5)</f>
        <v>7</v>
      </c>
      <c r="E5" s="44">
        <f t="shared" ref="E5:E53" si="9">WEEKNUM(C5)</f>
        <v>27</v>
      </c>
      <c r="F5" s="31" t="str">
        <f t="shared" ref="F5:F15" si="10">TEXT(C5,"ddd")</f>
        <v>Fri</v>
      </c>
      <c r="G5" s="10" t="s">
        <v>541</v>
      </c>
      <c r="H5" s="10" t="s">
        <v>12</v>
      </c>
      <c r="I5" t="s">
        <v>26</v>
      </c>
      <c r="J5" s="10" t="s">
        <v>0</v>
      </c>
      <c r="K5" s="5" t="s">
        <v>476</v>
      </c>
      <c r="L5" s="5">
        <v>5</v>
      </c>
      <c r="M5" s="1">
        <v>11000</v>
      </c>
      <c r="N5" s="7">
        <v>30</v>
      </c>
      <c r="O5" s="25">
        <f>IF(G5="EqCash",1,VLOOKUP($I5,fo_mktlots!$B$1:$C$1000,2,0))</f>
        <v>75</v>
      </c>
      <c r="P5" s="38">
        <f>ROUNDUP(VLOOKUP(K5,Levers!$A$5:$B$12,2,0)*Levers!$B$2,0)</f>
        <v>40000</v>
      </c>
      <c r="Q5" s="82">
        <f t="shared" ref="Q5:Q15" si="11">ROUNDDOWN(P5/(O5*N5),0)</f>
        <v>17</v>
      </c>
      <c r="R5" s="5">
        <f>Q5-10</f>
        <v>7</v>
      </c>
      <c r="S5" s="39">
        <f t="shared" ref="S5:S15" si="12">R5*O5*(N5)</f>
        <v>15750</v>
      </c>
      <c r="T5" s="35" t="str">
        <f t="shared" ref="T5:T6" si="13">IF(S5&gt;1.1*P5,"I'm taking higher risk",IF(S5&lt;0.75*P5,"I'm taking too Low risk","Acceptable risk"))</f>
        <v>I'm taking too Low risk</v>
      </c>
      <c r="U5" s="1">
        <f>M5+20</f>
        <v>11020</v>
      </c>
      <c r="V5" s="27">
        <f t="shared" ref="V5:V15" si="14">IF(H5="Intra",C5,C6)</f>
        <v>43287</v>
      </c>
      <c r="W5" s="26">
        <f t="shared" ref="W5:W54" si="15">IF(J5="Buy",U5-M5,M5-U5)</f>
        <v>20</v>
      </c>
      <c r="X5" s="12" t="str">
        <f t="shared" ref="X5:X6" si="16">IF(W5&lt;0,N5/2,"")</f>
        <v/>
      </c>
      <c r="Y5" s="12">
        <f t="shared" ref="Y5:Y6" si="17">IF(W5&gt;0,N5/3,"")</f>
        <v>10</v>
      </c>
      <c r="Z5" s="12">
        <f t="shared" ref="Z5:Z6" si="18">IF(W5&gt;0,W5*2,"")</f>
        <v>40</v>
      </c>
      <c r="AA5" s="1">
        <v>6</v>
      </c>
      <c r="AD5" s="9">
        <f t="shared" ref="AD5:AD15" si="19">IF(J5="Buy",(U5-M5)*O5*Q5,-(U5-M5)*O5*Q5)</f>
        <v>25500</v>
      </c>
      <c r="AE5" s="29">
        <f t="shared" si="0"/>
        <v>11560500</v>
      </c>
      <c r="AF5" s="29">
        <f t="shared" si="1"/>
        <v>578.55000000000007</v>
      </c>
      <c r="AG5" s="29">
        <f t="shared" si="2"/>
        <v>231.21</v>
      </c>
      <c r="AH5" s="29">
        <f t="shared" si="3"/>
        <v>40</v>
      </c>
      <c r="AI5" s="87">
        <f t="shared" si="4"/>
        <v>48.817800000000005</v>
      </c>
      <c r="AJ5" s="87">
        <f t="shared" si="5"/>
        <v>17.34075</v>
      </c>
      <c r="AK5" s="29"/>
      <c r="AL5" s="29">
        <f t="shared" si="6"/>
        <v>231.21</v>
      </c>
      <c r="AM5" s="29">
        <f t="shared" si="7"/>
        <v>1147.1285500000001</v>
      </c>
      <c r="AN5" s="115">
        <f t="shared" ref="AN5:AN15" si="20">IFERROR(AD5-AM5,0)</f>
        <v>24352.871449999999</v>
      </c>
      <c r="AO5" s="90">
        <f t="shared" ref="AO5:AO36" si="21">AO4+AN5</f>
        <v>24352.871449999999</v>
      </c>
      <c r="AP5" s="19" t="s">
        <v>517</v>
      </c>
      <c r="AQ5" s="19" t="s">
        <v>517</v>
      </c>
      <c r="AS5" s="30">
        <f t="shared" ref="AS5:AS36" si="22">IFERROR(W5/N5,"")</f>
        <v>0.66666666666666663</v>
      </c>
      <c r="AT5" s="30">
        <f t="shared" ref="AT5:AT36" si="23">IFERROR(Z5/N5,"")</f>
        <v>1.3333333333333333</v>
      </c>
      <c r="AU5" s="91">
        <f>IF(AND(AT5&gt;0,AS5&gt;0),AS5/AT5,1)</f>
        <v>0.5</v>
      </c>
    </row>
    <row r="6" spans="1:47">
      <c r="A6" s="1">
        <f>A5+1</f>
        <v>2</v>
      </c>
      <c r="B6" s="10" t="s">
        <v>13</v>
      </c>
      <c r="C6" s="17">
        <f>C5</f>
        <v>43287</v>
      </c>
      <c r="D6" s="44">
        <f t="shared" si="8"/>
        <v>7</v>
      </c>
      <c r="E6" s="44">
        <f t="shared" si="9"/>
        <v>27</v>
      </c>
      <c r="F6" s="31" t="str">
        <f t="shared" si="10"/>
        <v>Fri</v>
      </c>
      <c r="G6" s="10" t="s">
        <v>541</v>
      </c>
      <c r="H6" s="10" t="s">
        <v>12</v>
      </c>
      <c r="I6" t="s">
        <v>464</v>
      </c>
      <c r="J6" s="10" t="s">
        <v>11</v>
      </c>
      <c r="K6" s="5" t="s">
        <v>477</v>
      </c>
      <c r="L6" s="5">
        <v>60</v>
      </c>
      <c r="M6" s="1">
        <v>27000</v>
      </c>
      <c r="N6" s="7">
        <v>40</v>
      </c>
      <c r="O6" s="25">
        <f>IF(G6="EqCash",1,VLOOKUP($I6,fo_mktlots!$B$1:$C$1000,2,0))</f>
        <v>40</v>
      </c>
      <c r="P6" s="38">
        <f>ROUNDUP(VLOOKUP(K6,Levers!$A$5:$B$12,2,0)*Levers!$B$2,0)</f>
        <v>10000</v>
      </c>
      <c r="Q6" s="82">
        <f t="shared" si="11"/>
        <v>6</v>
      </c>
      <c r="R6" s="5">
        <f>Q6+2</f>
        <v>8</v>
      </c>
      <c r="S6" s="39">
        <f t="shared" si="12"/>
        <v>12800</v>
      </c>
      <c r="T6" s="35" t="str">
        <f t="shared" si="13"/>
        <v>I'm taking higher risk</v>
      </c>
      <c r="U6" s="1">
        <v>27040</v>
      </c>
      <c r="V6" s="27">
        <f t="shared" si="14"/>
        <v>43287</v>
      </c>
      <c r="W6" s="26">
        <f t="shared" si="15"/>
        <v>-40</v>
      </c>
      <c r="X6" s="12">
        <f t="shared" si="16"/>
        <v>20</v>
      </c>
      <c r="Y6" s="12" t="str">
        <f t="shared" si="17"/>
        <v/>
      </c>
      <c r="Z6" s="12" t="str">
        <f t="shared" si="18"/>
        <v/>
      </c>
      <c r="AA6" s="1">
        <v>7</v>
      </c>
      <c r="AD6" s="9">
        <f t="shared" si="19"/>
        <v>-9600</v>
      </c>
      <c r="AE6" s="29">
        <f t="shared" si="0"/>
        <v>17292800</v>
      </c>
      <c r="AF6" s="29">
        <f t="shared" si="1"/>
        <v>864</v>
      </c>
      <c r="AG6" s="29">
        <f t="shared" si="2"/>
        <v>345.85599999999999</v>
      </c>
      <c r="AH6" s="29">
        <f t="shared" si="3"/>
        <v>40</v>
      </c>
      <c r="AI6" s="87">
        <f t="shared" si="4"/>
        <v>69.45407999999999</v>
      </c>
      <c r="AJ6" s="87">
        <f t="shared" si="5"/>
        <v>25.9392</v>
      </c>
      <c r="AK6" s="29"/>
      <c r="AL6" s="29">
        <f t="shared" si="6"/>
        <v>345.85600000000005</v>
      </c>
      <c r="AM6" s="29">
        <f t="shared" si="7"/>
        <v>1691.10528</v>
      </c>
      <c r="AN6" s="115">
        <f t="shared" si="20"/>
        <v>-11291.10528</v>
      </c>
      <c r="AO6" s="90">
        <f t="shared" si="21"/>
        <v>13061.766169999999</v>
      </c>
      <c r="AP6" s="19" t="s">
        <v>524</v>
      </c>
      <c r="AQ6" s="19" t="s">
        <v>517</v>
      </c>
      <c r="AS6" s="30">
        <f t="shared" si="22"/>
        <v>-1</v>
      </c>
      <c r="AT6" s="30" t="str">
        <f t="shared" si="23"/>
        <v/>
      </c>
      <c r="AU6" s="91">
        <f t="shared" ref="AU6:AU54" si="24">IF(AND(AT6&gt;0,AS6&gt;0),AS6/AT6,1)</f>
        <v>1</v>
      </c>
    </row>
    <row r="7" spans="1:47">
      <c r="A7" s="1">
        <f t="shared" ref="A7:A15" si="25">A6+1</f>
        <v>3</v>
      </c>
      <c r="B7" s="10" t="s">
        <v>13</v>
      </c>
      <c r="C7" s="17">
        <f>C6+3</f>
        <v>43290</v>
      </c>
      <c r="D7" s="44">
        <f t="shared" si="8"/>
        <v>7</v>
      </c>
      <c r="E7" s="44">
        <f t="shared" si="9"/>
        <v>28</v>
      </c>
      <c r="F7" s="31" t="str">
        <f t="shared" si="10"/>
        <v>Mon</v>
      </c>
      <c r="G7" s="10" t="s">
        <v>541</v>
      </c>
      <c r="H7" s="10" t="s">
        <v>12</v>
      </c>
      <c r="I7" t="s">
        <v>427</v>
      </c>
      <c r="J7" s="10" t="s">
        <v>0</v>
      </c>
      <c r="K7" s="5" t="s">
        <v>478</v>
      </c>
      <c r="L7" s="5">
        <v>60</v>
      </c>
      <c r="M7" s="1">
        <v>600</v>
      </c>
      <c r="N7" s="7">
        <v>5</v>
      </c>
      <c r="O7" s="25">
        <f>IF(G7="EqCash",1,VLOOKUP($I7,fo_mktlots!$B$1:$C$1000,2,0))</f>
        <v>1200</v>
      </c>
      <c r="P7" s="38">
        <f>ROUNDUP(VLOOKUP(K7,Levers!$A$5:$B$12,2,0)*Levers!$B$2,0)</f>
        <v>20000</v>
      </c>
      <c r="Q7" s="82">
        <f t="shared" si="11"/>
        <v>3</v>
      </c>
      <c r="R7" s="5">
        <f t="shared" ref="R7:R13" si="26">Q7</f>
        <v>3</v>
      </c>
      <c r="S7" s="39">
        <f t="shared" si="12"/>
        <v>18000</v>
      </c>
      <c r="T7" s="35" t="str">
        <f>IF(S7&gt;1.1*P7,"I'm taking higher risk",IF(S7&lt;0.75*P7,"I'm taking too Low risk","Acceptable risk"))</f>
        <v>Acceptable risk</v>
      </c>
      <c r="U7" s="1">
        <v>595</v>
      </c>
      <c r="V7" s="27">
        <f t="shared" si="14"/>
        <v>43290</v>
      </c>
      <c r="W7" s="26">
        <f t="shared" si="15"/>
        <v>-5</v>
      </c>
      <c r="X7" s="12">
        <f>IF(W7&lt;0,N7/3,"")</f>
        <v>1.6666666666666667</v>
      </c>
      <c r="Y7" s="12" t="str">
        <f>IF(W7&gt;0,N7/2,"")</f>
        <v/>
      </c>
      <c r="Z7" s="12" t="str">
        <f>IF(W7&gt;0,W7*2.5,"")</f>
        <v/>
      </c>
      <c r="AA7" s="7">
        <v>8</v>
      </c>
      <c r="AD7" s="9">
        <f t="shared" si="19"/>
        <v>-18000</v>
      </c>
      <c r="AE7" s="29">
        <f t="shared" si="0"/>
        <v>4302000</v>
      </c>
      <c r="AF7" s="29">
        <f t="shared" si="1"/>
        <v>214.20000000000002</v>
      </c>
      <c r="AG7" s="29">
        <f t="shared" si="2"/>
        <v>86.04</v>
      </c>
      <c r="AH7" s="29">
        <f t="shared" si="3"/>
        <v>40</v>
      </c>
      <c r="AI7" s="87">
        <f t="shared" si="4"/>
        <v>22.687200000000001</v>
      </c>
      <c r="AJ7" s="87">
        <f t="shared" si="5"/>
        <v>6.4530000000000003</v>
      </c>
      <c r="AK7" s="29"/>
      <c r="AL7" s="29">
        <f t="shared" si="6"/>
        <v>86.04</v>
      </c>
      <c r="AM7" s="29">
        <f t="shared" si="7"/>
        <v>455.42020000000002</v>
      </c>
      <c r="AN7" s="115">
        <f t="shared" si="20"/>
        <v>-18455.4202</v>
      </c>
      <c r="AO7" s="90">
        <f t="shared" si="21"/>
        <v>-5393.6540300000015</v>
      </c>
      <c r="AP7" s="19" t="s">
        <v>548</v>
      </c>
      <c r="AQ7" s="19" t="s">
        <v>517</v>
      </c>
      <c r="AS7" s="30">
        <f t="shared" si="22"/>
        <v>-1</v>
      </c>
      <c r="AT7" s="30" t="str">
        <f t="shared" si="23"/>
        <v/>
      </c>
      <c r="AU7" s="91">
        <f t="shared" si="24"/>
        <v>1</v>
      </c>
    </row>
    <row r="8" spans="1:47">
      <c r="A8" s="10">
        <f t="shared" si="25"/>
        <v>4</v>
      </c>
      <c r="B8" s="10" t="s">
        <v>13</v>
      </c>
      <c r="C8" s="17">
        <f>C7</f>
        <v>43290</v>
      </c>
      <c r="D8" s="44">
        <f t="shared" si="8"/>
        <v>7</v>
      </c>
      <c r="E8" s="44">
        <f t="shared" si="9"/>
        <v>28</v>
      </c>
      <c r="F8" s="31" t="str">
        <f t="shared" si="10"/>
        <v>Mon</v>
      </c>
      <c r="G8" s="10" t="s">
        <v>543</v>
      </c>
      <c r="H8" s="10" t="s">
        <v>12</v>
      </c>
      <c r="I8" t="s">
        <v>427</v>
      </c>
      <c r="J8" s="10" t="s">
        <v>0</v>
      </c>
      <c r="K8" s="5" t="s">
        <v>476</v>
      </c>
      <c r="L8" s="7" t="s">
        <v>568</v>
      </c>
      <c r="M8" s="1">
        <v>600</v>
      </c>
      <c r="N8" s="7">
        <v>5</v>
      </c>
      <c r="O8" s="25">
        <f>IF(G8="EqCash",1,VLOOKUP($I8,fo_mktlots!$B$1:$C$1000,2,0))</f>
        <v>1</v>
      </c>
      <c r="P8" s="38">
        <f>ROUNDUP(VLOOKUP(K8,Levers!$A$5:$B$12,2,0)*Levers!$B$2,0)</f>
        <v>40000</v>
      </c>
      <c r="Q8" s="82">
        <f t="shared" si="11"/>
        <v>8000</v>
      </c>
      <c r="R8" s="5">
        <f t="shared" si="26"/>
        <v>8000</v>
      </c>
      <c r="S8" s="39">
        <f t="shared" si="12"/>
        <v>40000</v>
      </c>
      <c r="T8" s="35" t="str">
        <f t="shared" ref="T8:T54" si="27">IF(S8&gt;1.1*P8,"I'm taking higher risk",IF(S8&lt;0.75*P8,"I'm taking too Low risk","Acceptable risk"))</f>
        <v>Acceptable risk</v>
      </c>
      <c r="U8" s="1">
        <v>605</v>
      </c>
      <c r="V8" s="27">
        <f t="shared" si="14"/>
        <v>43290</v>
      </c>
      <c r="W8" s="26">
        <f t="shared" si="15"/>
        <v>5</v>
      </c>
      <c r="X8" s="12" t="str">
        <f t="shared" ref="X8:X9" si="28">IF(W8&lt;0,N8/3,"")</f>
        <v/>
      </c>
      <c r="Y8" s="12">
        <f t="shared" ref="Y8:Y9" si="29">IF(W8&gt;0,N8/2,"")</f>
        <v>2.5</v>
      </c>
      <c r="Z8" s="12">
        <f t="shared" ref="Z8:Z9" si="30">IF(W8&gt;0,W8*2.5,"")</f>
        <v>12.5</v>
      </c>
      <c r="AA8" s="7">
        <v>9</v>
      </c>
      <c r="AD8" s="9">
        <f t="shared" si="19"/>
        <v>40000</v>
      </c>
      <c r="AE8" s="29">
        <f>IF(G8="EqOpt",(R8*O8*(100+U8-M8)),(M8+U8)*O8*R8)</f>
        <v>9640000</v>
      </c>
      <c r="AF8" s="29">
        <f>IF(G8="EqCash",IF(H8="Pos",AE8*0.1%,0.025%*O8*R8*IF(J8="Sell",M8,U8)),IF(G8="EqFut",0.01%*O8*R8*IF(J8="Sell",M8,U8),IF(G8="EqOpt",0.05%*O8*R8*IF(J8="Sell",M8,U8))))</f>
        <v>1210</v>
      </c>
      <c r="AG8" s="29">
        <f>IF(G8="EqFut",AE8*200/10000000,IF(G8="EqCash",AE8*325/10000000,IF(G8="EqOpt",AE8*5300/10000000)))</f>
        <v>313.3</v>
      </c>
      <c r="AH8" s="29">
        <f t="shared" ref="AH8" si="31">IF(G8="EqOpt",40,MIN(40,AE8*IF(AND(G8="EqCash",H8="Pos"),0.1%,0.01%)))</f>
        <v>40</v>
      </c>
      <c r="AI8" s="87">
        <f t="shared" ref="AI8" si="32">18%*(AG8+AH8)</f>
        <v>63.594000000000001</v>
      </c>
      <c r="AJ8" s="87">
        <f t="shared" ref="AJ8" si="33">15*AE8/10000000</f>
        <v>14.46</v>
      </c>
      <c r="AK8" s="29"/>
      <c r="AL8" s="29">
        <f t="shared" ref="AL8" si="34">IF(G8="EqFut",AE8*0.002%,IF(AND(G8="EqCash",H8="Pos"),AE8*0.01%,IF(AND(G8="EqCash",H8="Intra"),AE8*0.002%,IF(G8="EqOpt",AE8*0.002%))))</f>
        <v>192.8</v>
      </c>
      <c r="AM8" s="29">
        <f t="shared" ref="AM8" si="35">SUM(AF8:AL8)</f>
        <v>1834.154</v>
      </c>
      <c r="AN8" s="115">
        <f t="shared" si="20"/>
        <v>38165.845999999998</v>
      </c>
      <c r="AO8" s="90">
        <f t="shared" si="21"/>
        <v>32772.19197</v>
      </c>
      <c r="AP8" s="19" t="s">
        <v>519</v>
      </c>
      <c r="AQ8" s="19" t="s">
        <v>517</v>
      </c>
      <c r="AS8" s="30">
        <f t="shared" si="22"/>
        <v>1</v>
      </c>
      <c r="AT8" s="30">
        <f t="shared" si="23"/>
        <v>2.5</v>
      </c>
      <c r="AU8" s="91">
        <f t="shared" si="24"/>
        <v>0.4</v>
      </c>
    </row>
    <row r="9" spans="1:47">
      <c r="A9" s="1">
        <f t="shared" si="25"/>
        <v>5</v>
      </c>
      <c r="B9" s="10" t="s">
        <v>13</v>
      </c>
      <c r="C9" s="17">
        <f t="shared" ref="C9:C50" si="36">C8+1</f>
        <v>43291</v>
      </c>
      <c r="D9" s="44">
        <f t="shared" si="8"/>
        <v>7</v>
      </c>
      <c r="E9" s="44">
        <f t="shared" si="9"/>
        <v>28</v>
      </c>
      <c r="F9" s="31" t="str">
        <f t="shared" si="10"/>
        <v>Tue</v>
      </c>
      <c r="G9" s="10" t="s">
        <v>543</v>
      </c>
      <c r="H9" s="10" t="s">
        <v>12</v>
      </c>
      <c r="I9" t="s">
        <v>403</v>
      </c>
      <c r="J9" s="10" t="s">
        <v>0</v>
      </c>
      <c r="K9" s="5" t="s">
        <v>477</v>
      </c>
      <c r="L9" s="7" t="s">
        <v>568</v>
      </c>
      <c r="M9" s="1">
        <v>2600</v>
      </c>
      <c r="N9" s="7">
        <v>10</v>
      </c>
      <c r="O9" s="25">
        <f>IF(G9="EqCash",1,VLOOKUP($I9,fo_mktlots!$B$1:$C$1000,2,0))</f>
        <v>1</v>
      </c>
      <c r="P9" s="38">
        <f>ROUNDUP(VLOOKUP(K9,Levers!$A$5:$B$12,2,0)*Levers!$B$2,0)</f>
        <v>10000</v>
      </c>
      <c r="Q9" s="82">
        <f t="shared" si="11"/>
        <v>1000</v>
      </c>
      <c r="R9" s="5">
        <f t="shared" si="26"/>
        <v>1000</v>
      </c>
      <c r="S9" s="39">
        <f t="shared" si="12"/>
        <v>10000</v>
      </c>
      <c r="T9" s="35" t="str">
        <f t="shared" si="27"/>
        <v>Acceptable risk</v>
      </c>
      <c r="U9" s="1">
        <v>2585</v>
      </c>
      <c r="V9" s="27">
        <f t="shared" si="14"/>
        <v>43291</v>
      </c>
      <c r="W9" s="26">
        <f t="shared" si="15"/>
        <v>-15</v>
      </c>
      <c r="X9" s="12">
        <f t="shared" si="28"/>
        <v>3.3333333333333335</v>
      </c>
      <c r="Y9" s="12" t="str">
        <f t="shared" si="29"/>
        <v/>
      </c>
      <c r="Z9" s="12" t="str">
        <f t="shared" si="30"/>
        <v/>
      </c>
      <c r="AA9" s="1">
        <v>5</v>
      </c>
      <c r="AD9" s="9">
        <f t="shared" si="19"/>
        <v>-15000</v>
      </c>
      <c r="AE9" s="29">
        <f t="shared" ref="AE9:AE54" si="37">IF(G9="EqOpt",(R9*O9*(100+U9-M9)),(M9+U9)*O9*R9)</f>
        <v>5185000</v>
      </c>
      <c r="AF9" s="29">
        <f t="shared" ref="AF9:AF54" si="38">IF(G9="EqCash",IF(H9="Pos",AE9*0.1%,0.025%*O9*R9*IF(J9="Sell",M9,U9)),IF(G9="EqFut",0.01%*O9*R9*IF(J9="Sell",M9,U9),IF(G9="EqOpt",0.05%*O9*R9*IF(J9="Sell",M9,U9))))</f>
        <v>646.25</v>
      </c>
      <c r="AG9" s="29">
        <f t="shared" ref="AG9:AG54" si="39">IF(G9="EqFut",AE9*200/10000000,IF(G9="EqCash",AE9*325/10000000,IF(G9="EqOpt",AE9*5300/10000000)))</f>
        <v>168.51249999999999</v>
      </c>
      <c r="AH9" s="29">
        <f t="shared" ref="AH9:AH54" si="40">IF(G9="EqOpt",40,MIN(40,AE9*IF(AND(G9="EqCash",H9="Pos"),0.1%,0.01%)))</f>
        <v>40</v>
      </c>
      <c r="AI9" s="87">
        <f t="shared" ref="AI9:AI54" si="41">18%*(AG9+AH9)</f>
        <v>37.532249999999998</v>
      </c>
      <c r="AJ9" s="87">
        <f t="shared" ref="AJ9:AJ54" si="42">15*AE9/10000000</f>
        <v>7.7774999999999999</v>
      </c>
      <c r="AK9" s="29"/>
      <c r="AL9" s="29">
        <f t="shared" ref="AL9:AL54" si="43">IF(G9="EqFut",AE9*0.002%,IF(AND(G9="EqCash",H9="Pos"),AE9*0.01%,IF(AND(G9="EqCash",H9="Intra"),AE9*0.002%,IF(G9="EqOpt",AE9*0.002%))))</f>
        <v>103.7</v>
      </c>
      <c r="AM9" s="29">
        <f t="shared" ref="AM9:AM54" si="44">SUM(AF9:AL9)</f>
        <v>1003.7722500000001</v>
      </c>
      <c r="AN9" s="115">
        <f t="shared" si="20"/>
        <v>-16003.77225</v>
      </c>
      <c r="AO9" s="90">
        <f t="shared" si="21"/>
        <v>16768.419719999998</v>
      </c>
      <c r="AP9" s="19" t="s">
        <v>524</v>
      </c>
      <c r="AQ9" s="19" t="s">
        <v>517</v>
      </c>
      <c r="AS9" s="30">
        <f t="shared" si="22"/>
        <v>-1.5</v>
      </c>
      <c r="AT9" s="30" t="str">
        <f t="shared" si="23"/>
        <v/>
      </c>
      <c r="AU9" s="91">
        <f t="shared" si="24"/>
        <v>1</v>
      </c>
    </row>
    <row r="10" spans="1:47">
      <c r="A10" s="1">
        <f t="shared" si="25"/>
        <v>6</v>
      </c>
      <c r="B10" s="10" t="s">
        <v>13</v>
      </c>
      <c r="C10" s="17">
        <f t="shared" si="36"/>
        <v>43292</v>
      </c>
      <c r="D10" s="44">
        <f t="shared" si="8"/>
        <v>7</v>
      </c>
      <c r="E10" s="44">
        <f t="shared" si="9"/>
        <v>28</v>
      </c>
      <c r="F10" s="31" t="str">
        <f t="shared" si="10"/>
        <v>Wed</v>
      </c>
      <c r="G10" s="10" t="s">
        <v>543</v>
      </c>
      <c r="H10" s="10" t="s">
        <v>15</v>
      </c>
      <c r="I10" t="s">
        <v>403</v>
      </c>
      <c r="J10" s="10" t="s">
        <v>0</v>
      </c>
      <c r="K10" s="5" t="s">
        <v>478</v>
      </c>
      <c r="L10" s="7" t="s">
        <v>568</v>
      </c>
      <c r="M10" s="1">
        <v>2600</v>
      </c>
      <c r="N10" s="7">
        <v>10</v>
      </c>
      <c r="O10" s="25">
        <f>IF(G10="EqCash",1,VLOOKUP($I10,fo_mktlots!$B$1:$C$1000,2,0))</f>
        <v>1</v>
      </c>
      <c r="P10" s="38">
        <f>ROUNDUP(VLOOKUP(K10,Levers!$A$5:$B$12,2,0)*Levers!$B$2,0)</f>
        <v>20000</v>
      </c>
      <c r="Q10" s="82">
        <f t="shared" si="11"/>
        <v>2000</v>
      </c>
      <c r="R10" s="5">
        <f t="shared" si="26"/>
        <v>2000</v>
      </c>
      <c r="S10" s="39">
        <f t="shared" si="12"/>
        <v>20000</v>
      </c>
      <c r="T10" s="35" t="str">
        <f t="shared" si="27"/>
        <v>Acceptable risk</v>
      </c>
      <c r="U10" s="1">
        <v>2590</v>
      </c>
      <c r="V10" s="27">
        <f t="shared" si="14"/>
        <v>43292</v>
      </c>
      <c r="W10" s="26">
        <f t="shared" si="15"/>
        <v>-10</v>
      </c>
      <c r="X10" s="12">
        <f>IF(W10&lt;0,N10/2,"")</f>
        <v>5</v>
      </c>
      <c r="Y10" s="12" t="str">
        <f>IF(W10&gt;0,N10/3,"")</f>
        <v/>
      </c>
      <c r="Z10" s="12" t="str">
        <f>IF(W10&gt;0,W10*2,"")</f>
        <v/>
      </c>
      <c r="AA10" s="1">
        <v>6</v>
      </c>
      <c r="AD10" s="9">
        <f t="shared" si="19"/>
        <v>-20000</v>
      </c>
      <c r="AE10" s="29">
        <f t="shared" si="37"/>
        <v>10380000</v>
      </c>
      <c r="AF10" s="29">
        <f t="shared" si="38"/>
        <v>10380</v>
      </c>
      <c r="AG10" s="29">
        <f t="shared" si="39"/>
        <v>337.35</v>
      </c>
      <c r="AH10" s="29">
        <f t="shared" si="40"/>
        <v>40</v>
      </c>
      <c r="AI10" s="87">
        <f t="shared" si="41"/>
        <v>67.923000000000002</v>
      </c>
      <c r="AJ10" s="87">
        <f t="shared" si="42"/>
        <v>15.57</v>
      </c>
      <c r="AK10" s="29"/>
      <c r="AL10" s="29">
        <f t="shared" si="43"/>
        <v>1038</v>
      </c>
      <c r="AM10" s="29">
        <f t="shared" si="44"/>
        <v>11878.843000000001</v>
      </c>
      <c r="AN10" s="115">
        <f t="shared" si="20"/>
        <v>-31878.843000000001</v>
      </c>
      <c r="AO10" s="90">
        <f t="shared" si="21"/>
        <v>-15110.423280000003</v>
      </c>
      <c r="AP10" s="19" t="s">
        <v>548</v>
      </c>
      <c r="AQ10" s="19" t="s">
        <v>517</v>
      </c>
      <c r="AS10" s="30">
        <f t="shared" si="22"/>
        <v>-1</v>
      </c>
      <c r="AT10" s="30" t="str">
        <f t="shared" si="23"/>
        <v/>
      </c>
      <c r="AU10" s="91">
        <f t="shared" si="24"/>
        <v>1</v>
      </c>
    </row>
    <row r="11" spans="1:47">
      <c r="A11" s="1">
        <f t="shared" si="25"/>
        <v>7</v>
      </c>
      <c r="B11" s="10" t="s">
        <v>13</v>
      </c>
      <c r="C11" s="17">
        <f>C10</f>
        <v>43292</v>
      </c>
      <c r="D11" s="44">
        <f t="shared" si="8"/>
        <v>7</v>
      </c>
      <c r="E11" s="44">
        <f t="shared" si="9"/>
        <v>28</v>
      </c>
      <c r="F11" s="31" t="str">
        <f t="shared" si="10"/>
        <v>Wed</v>
      </c>
      <c r="G11" s="10" t="s">
        <v>543</v>
      </c>
      <c r="H11" s="10" t="s">
        <v>15</v>
      </c>
      <c r="I11" t="s">
        <v>427</v>
      </c>
      <c r="J11" s="10" t="s">
        <v>0</v>
      </c>
      <c r="K11" s="5" t="s">
        <v>476</v>
      </c>
      <c r="L11" s="7" t="s">
        <v>568</v>
      </c>
      <c r="M11" s="1">
        <v>600</v>
      </c>
      <c r="N11" s="7">
        <v>5</v>
      </c>
      <c r="O11" s="25">
        <f>IF(G11="EqCash",1,VLOOKUP($I11,fo_mktlots!$B$1:$C$1000,2,0))</f>
        <v>1</v>
      </c>
      <c r="P11" s="38">
        <f>ROUNDUP(VLOOKUP(K11,Levers!$A$5:$B$12,2,0)*Levers!$B$2,0)</f>
        <v>40000</v>
      </c>
      <c r="Q11" s="82">
        <f t="shared" si="11"/>
        <v>8000</v>
      </c>
      <c r="R11" s="5">
        <f t="shared" si="26"/>
        <v>8000</v>
      </c>
      <c r="S11" s="39">
        <f t="shared" si="12"/>
        <v>40000</v>
      </c>
      <c r="T11" s="35" t="str">
        <f t="shared" si="27"/>
        <v>Acceptable risk</v>
      </c>
      <c r="U11" s="1">
        <v>615</v>
      </c>
      <c r="V11" s="27">
        <f t="shared" si="14"/>
        <v>43293</v>
      </c>
      <c r="W11" s="26">
        <f t="shared" si="15"/>
        <v>15</v>
      </c>
      <c r="X11" s="12" t="str">
        <f t="shared" ref="X11:X12" si="45">IF(W11&lt;0,N11/2,"")</f>
        <v/>
      </c>
      <c r="Y11" s="12">
        <f t="shared" ref="Y11:Y12" si="46">IF(W11&gt;0,N11/3,"")</f>
        <v>1.6666666666666667</v>
      </c>
      <c r="Z11" s="12">
        <f t="shared" ref="Z11:Z12" si="47">IF(W11&gt;0,W11*2,"")</f>
        <v>30</v>
      </c>
      <c r="AA11" s="1">
        <v>7</v>
      </c>
      <c r="AD11" s="9">
        <f t="shared" si="19"/>
        <v>120000</v>
      </c>
      <c r="AE11" s="29">
        <f t="shared" si="37"/>
        <v>9720000</v>
      </c>
      <c r="AF11" s="29">
        <f t="shared" si="38"/>
        <v>9720</v>
      </c>
      <c r="AG11" s="29">
        <f t="shared" si="39"/>
        <v>315.89999999999998</v>
      </c>
      <c r="AH11" s="29">
        <f t="shared" si="40"/>
        <v>40</v>
      </c>
      <c r="AI11" s="87">
        <f t="shared" si="41"/>
        <v>64.061999999999998</v>
      </c>
      <c r="AJ11" s="87">
        <f t="shared" si="42"/>
        <v>14.58</v>
      </c>
      <c r="AK11" s="29"/>
      <c r="AL11" s="29">
        <f t="shared" si="43"/>
        <v>972</v>
      </c>
      <c r="AM11" s="29">
        <f t="shared" si="44"/>
        <v>11126.541999999999</v>
      </c>
      <c r="AN11" s="115">
        <f t="shared" si="20"/>
        <v>108873.458</v>
      </c>
      <c r="AO11" s="90">
        <f t="shared" si="21"/>
        <v>93763.034719999996</v>
      </c>
      <c r="AP11" s="19" t="s">
        <v>517</v>
      </c>
      <c r="AQ11" s="19" t="s">
        <v>517</v>
      </c>
      <c r="AS11" s="30">
        <f t="shared" si="22"/>
        <v>3</v>
      </c>
      <c r="AT11" s="30">
        <f t="shared" si="23"/>
        <v>6</v>
      </c>
      <c r="AU11" s="91">
        <f t="shared" si="24"/>
        <v>0.5</v>
      </c>
    </row>
    <row r="12" spans="1:47">
      <c r="A12" s="1">
        <f t="shared" si="25"/>
        <v>8</v>
      </c>
      <c r="B12" s="10" t="s">
        <v>13</v>
      </c>
      <c r="C12" s="17">
        <f>C11+1</f>
        <v>43293</v>
      </c>
      <c r="D12" s="44">
        <f t="shared" si="8"/>
        <v>7</v>
      </c>
      <c r="E12" s="44">
        <f t="shared" si="9"/>
        <v>28</v>
      </c>
      <c r="F12" s="31" t="str">
        <f t="shared" si="10"/>
        <v>Thu</v>
      </c>
      <c r="G12" s="10" t="s">
        <v>542</v>
      </c>
      <c r="H12" s="10" t="s">
        <v>12</v>
      </c>
      <c r="I12" t="s">
        <v>464</v>
      </c>
      <c r="J12" s="10" t="s">
        <v>11</v>
      </c>
      <c r="K12" s="5" t="s">
        <v>477</v>
      </c>
      <c r="L12" s="5">
        <v>15</v>
      </c>
      <c r="M12" s="1">
        <v>27000</v>
      </c>
      <c r="N12" s="7">
        <v>40</v>
      </c>
      <c r="O12" s="25">
        <f>IF(G12="EqCash",1,VLOOKUP($I12,fo_mktlots!$B$1:$C$1000,2,0))</f>
        <v>40</v>
      </c>
      <c r="P12" s="38">
        <f>ROUNDUP(VLOOKUP(K12,Levers!$A$5:$B$12,2,0)*Levers!$B$2,0)</f>
        <v>10000</v>
      </c>
      <c r="Q12" s="82">
        <f t="shared" si="11"/>
        <v>6</v>
      </c>
      <c r="R12" s="5">
        <f t="shared" si="26"/>
        <v>6</v>
      </c>
      <c r="S12" s="39">
        <f t="shared" si="12"/>
        <v>9600</v>
      </c>
      <c r="T12" s="35" t="str">
        <f t="shared" si="27"/>
        <v>Acceptable risk</v>
      </c>
      <c r="U12" s="1">
        <v>26940</v>
      </c>
      <c r="V12" s="27">
        <f t="shared" si="14"/>
        <v>43293</v>
      </c>
      <c r="W12" s="26">
        <f t="shared" si="15"/>
        <v>60</v>
      </c>
      <c r="X12" s="12" t="str">
        <f t="shared" si="45"/>
        <v/>
      </c>
      <c r="Y12" s="12">
        <f t="shared" si="46"/>
        <v>13.333333333333334</v>
      </c>
      <c r="Z12" s="12">
        <f t="shared" si="47"/>
        <v>120</v>
      </c>
      <c r="AA12" s="7">
        <v>8</v>
      </c>
      <c r="AD12" s="9">
        <f t="shared" si="19"/>
        <v>14400</v>
      </c>
      <c r="AE12" s="29">
        <f t="shared" si="37"/>
        <v>9600</v>
      </c>
      <c r="AF12" s="29">
        <f t="shared" si="38"/>
        <v>3240</v>
      </c>
      <c r="AG12" s="29">
        <f t="shared" si="39"/>
        <v>5.0880000000000001</v>
      </c>
      <c r="AH12" s="29">
        <f t="shared" si="40"/>
        <v>40</v>
      </c>
      <c r="AI12" s="87">
        <f t="shared" si="41"/>
        <v>8.1158400000000004</v>
      </c>
      <c r="AJ12" s="87">
        <f t="shared" si="42"/>
        <v>1.44E-2</v>
      </c>
      <c r="AK12" s="29"/>
      <c r="AL12" s="29">
        <f t="shared" si="43"/>
        <v>0.192</v>
      </c>
      <c r="AM12" s="29">
        <f t="shared" si="44"/>
        <v>3293.4102400000002</v>
      </c>
      <c r="AN12" s="115">
        <f t="shared" si="20"/>
        <v>11106.589759999999</v>
      </c>
      <c r="AO12" s="90">
        <f t="shared" si="21"/>
        <v>104869.62448</v>
      </c>
      <c r="AP12" s="19" t="s">
        <v>519</v>
      </c>
      <c r="AQ12" s="19" t="s">
        <v>524</v>
      </c>
      <c r="AS12" s="30">
        <f t="shared" si="22"/>
        <v>1.5</v>
      </c>
      <c r="AT12" s="30">
        <f t="shared" si="23"/>
        <v>3</v>
      </c>
      <c r="AU12" s="91">
        <f t="shared" si="24"/>
        <v>0.5</v>
      </c>
    </row>
    <row r="13" spans="1:47">
      <c r="A13" s="1">
        <f t="shared" si="25"/>
        <v>9</v>
      </c>
      <c r="B13" s="10" t="s">
        <v>13</v>
      </c>
      <c r="C13" s="17">
        <f>C12+1</f>
        <v>43294</v>
      </c>
      <c r="D13" s="44">
        <f t="shared" si="8"/>
        <v>7</v>
      </c>
      <c r="E13" s="44">
        <f t="shared" si="9"/>
        <v>28</v>
      </c>
      <c r="F13" s="31" t="str">
        <f t="shared" si="10"/>
        <v>Fri</v>
      </c>
      <c r="G13" s="10" t="s">
        <v>542</v>
      </c>
      <c r="H13" s="10" t="s">
        <v>12</v>
      </c>
      <c r="I13" t="s">
        <v>403</v>
      </c>
      <c r="J13" s="10" t="s">
        <v>11</v>
      </c>
      <c r="K13" s="5" t="s">
        <v>478</v>
      </c>
      <c r="L13" s="5">
        <v>5</v>
      </c>
      <c r="M13" s="1">
        <v>2600</v>
      </c>
      <c r="N13" s="7">
        <v>10</v>
      </c>
      <c r="O13" s="25">
        <f>IF(G13="EqCash",1,VLOOKUP($I13,fo_mktlots!$B$1:$C$1000,2,0))</f>
        <v>250</v>
      </c>
      <c r="P13" s="38">
        <f>ROUNDUP(VLOOKUP(K13,Levers!$A$5:$B$12,2,0)*Levers!$B$2,0)</f>
        <v>20000</v>
      </c>
      <c r="Q13" s="82">
        <f t="shared" si="11"/>
        <v>8</v>
      </c>
      <c r="R13" s="5">
        <f t="shared" si="26"/>
        <v>8</v>
      </c>
      <c r="S13" s="39">
        <f t="shared" si="12"/>
        <v>20000</v>
      </c>
      <c r="T13" s="35" t="str">
        <f t="shared" si="27"/>
        <v>Acceptable risk</v>
      </c>
      <c r="U13" s="1">
        <f>M13-7</f>
        <v>2593</v>
      </c>
      <c r="V13" s="27">
        <f t="shared" si="14"/>
        <v>43294</v>
      </c>
      <c r="W13" s="26">
        <f t="shared" si="15"/>
        <v>7</v>
      </c>
      <c r="X13" s="12" t="str">
        <f>IF(W13&lt;0,N13/3,"")</f>
        <v/>
      </c>
      <c r="Y13" s="12">
        <f>IF(W13&gt;0,N13/2,"")</f>
        <v>5</v>
      </c>
      <c r="Z13" s="12">
        <f>IF(W13&gt;0,W13*2.5,"")</f>
        <v>17.5</v>
      </c>
      <c r="AA13" s="7">
        <v>9</v>
      </c>
      <c r="AD13" s="9">
        <f t="shared" si="19"/>
        <v>14000</v>
      </c>
      <c r="AE13" s="29">
        <f t="shared" si="37"/>
        <v>186000</v>
      </c>
      <c r="AF13" s="29">
        <f t="shared" si="38"/>
        <v>2600</v>
      </c>
      <c r="AG13" s="29">
        <f t="shared" si="39"/>
        <v>98.58</v>
      </c>
      <c r="AH13" s="29">
        <f t="shared" si="40"/>
        <v>40</v>
      </c>
      <c r="AI13" s="87">
        <f t="shared" si="41"/>
        <v>24.944399999999995</v>
      </c>
      <c r="AJ13" s="87">
        <f t="shared" si="42"/>
        <v>0.27900000000000003</v>
      </c>
      <c r="AK13" s="29"/>
      <c r="AL13" s="29">
        <f t="shared" si="43"/>
        <v>3.72</v>
      </c>
      <c r="AM13" s="29">
        <f t="shared" si="44"/>
        <v>2767.5233999999996</v>
      </c>
      <c r="AN13" s="115">
        <f t="shared" si="20"/>
        <v>11232.4766</v>
      </c>
      <c r="AO13" s="90">
        <f t="shared" si="21"/>
        <v>116102.10107999999</v>
      </c>
      <c r="AP13" s="19" t="s">
        <v>517</v>
      </c>
      <c r="AQ13" s="19" t="s">
        <v>517</v>
      </c>
      <c r="AS13" s="30">
        <f t="shared" si="22"/>
        <v>0.7</v>
      </c>
      <c r="AT13" s="30">
        <f t="shared" si="23"/>
        <v>1.75</v>
      </c>
      <c r="AU13" s="91">
        <f t="shared" si="24"/>
        <v>0.39999999999999997</v>
      </c>
    </row>
    <row r="14" spans="1:47">
      <c r="A14" s="1">
        <f t="shared" si="25"/>
        <v>10</v>
      </c>
      <c r="B14" s="10" t="s">
        <v>13</v>
      </c>
      <c r="C14" s="17">
        <f>C13</f>
        <v>43294</v>
      </c>
      <c r="D14" s="44">
        <f t="shared" si="8"/>
        <v>7</v>
      </c>
      <c r="E14" s="44">
        <f t="shared" si="9"/>
        <v>28</v>
      </c>
      <c r="F14" s="31" t="str">
        <f t="shared" si="10"/>
        <v>Fri</v>
      </c>
      <c r="G14" s="10" t="s">
        <v>542</v>
      </c>
      <c r="H14" s="10" t="s">
        <v>12</v>
      </c>
      <c r="I14" t="s">
        <v>26</v>
      </c>
      <c r="J14" s="10" t="s">
        <v>11</v>
      </c>
      <c r="K14" s="5" t="s">
        <v>476</v>
      </c>
      <c r="L14" s="5">
        <v>60</v>
      </c>
      <c r="M14" s="1">
        <v>11000</v>
      </c>
      <c r="N14" s="7">
        <v>30</v>
      </c>
      <c r="O14" s="25">
        <f>IF(G14="EqCash",1,VLOOKUP($I14,fo_mktlots!$B$1:$C$1000,2,0))</f>
        <v>75</v>
      </c>
      <c r="P14" s="38">
        <f>ROUNDUP(VLOOKUP(K14,Levers!$A$5:$B$12,2,0)*Levers!$B$2,0)</f>
        <v>40000</v>
      </c>
      <c r="Q14" s="82">
        <f t="shared" si="11"/>
        <v>17</v>
      </c>
      <c r="R14" s="5">
        <f>Q14+5</f>
        <v>22</v>
      </c>
      <c r="S14" s="39">
        <f t="shared" si="12"/>
        <v>49500</v>
      </c>
      <c r="T14" s="35" t="str">
        <f t="shared" si="27"/>
        <v>I'm taking higher risk</v>
      </c>
      <c r="U14" s="1">
        <v>11030</v>
      </c>
      <c r="V14" s="27">
        <f t="shared" si="14"/>
        <v>43294</v>
      </c>
      <c r="W14" s="26">
        <f t="shared" si="15"/>
        <v>-30</v>
      </c>
      <c r="X14" s="12">
        <f t="shared" ref="X14:X15" si="48">IF(W14&lt;0,N14/3,"")</f>
        <v>10</v>
      </c>
      <c r="Y14" s="12" t="str">
        <f t="shared" ref="Y14:Y15" si="49">IF(W14&gt;0,N14/2,"")</f>
        <v/>
      </c>
      <c r="Z14" s="12" t="str">
        <f t="shared" ref="Z14:Z15" si="50">IF(W14&gt;0,W14*2.5,"")</f>
        <v/>
      </c>
      <c r="AA14" s="1">
        <v>5</v>
      </c>
      <c r="AD14" s="9">
        <f t="shared" si="19"/>
        <v>-38250</v>
      </c>
      <c r="AE14" s="29">
        <f t="shared" si="37"/>
        <v>214500</v>
      </c>
      <c r="AF14" s="29">
        <f t="shared" si="38"/>
        <v>9075</v>
      </c>
      <c r="AG14" s="29">
        <f t="shared" si="39"/>
        <v>113.685</v>
      </c>
      <c r="AH14" s="29">
        <f t="shared" si="40"/>
        <v>40</v>
      </c>
      <c r="AI14" s="87">
        <f t="shared" si="41"/>
        <v>27.6633</v>
      </c>
      <c r="AJ14" s="87">
        <f t="shared" si="42"/>
        <v>0.32174999999999998</v>
      </c>
      <c r="AK14" s="29"/>
      <c r="AL14" s="29">
        <f t="shared" si="43"/>
        <v>4.29</v>
      </c>
      <c r="AM14" s="29">
        <f t="shared" si="44"/>
        <v>9260.9600499999997</v>
      </c>
      <c r="AN14" s="115">
        <f t="shared" si="20"/>
        <v>-47510.960050000002</v>
      </c>
      <c r="AO14" s="90">
        <f t="shared" si="21"/>
        <v>68591.141029999999</v>
      </c>
      <c r="AP14" s="19" t="s">
        <v>524</v>
      </c>
      <c r="AQ14" s="19" t="s">
        <v>517</v>
      </c>
      <c r="AS14" s="30">
        <f t="shared" si="22"/>
        <v>-1</v>
      </c>
      <c r="AT14" s="30" t="str">
        <f t="shared" si="23"/>
        <v/>
      </c>
      <c r="AU14" s="91">
        <f t="shared" si="24"/>
        <v>1</v>
      </c>
    </row>
    <row r="15" spans="1:47">
      <c r="A15" s="1">
        <f t="shared" si="25"/>
        <v>11</v>
      </c>
      <c r="B15" s="10" t="s">
        <v>13</v>
      </c>
      <c r="C15" s="17">
        <f>C14+3</f>
        <v>43297</v>
      </c>
      <c r="D15" s="44">
        <f t="shared" si="8"/>
        <v>7</v>
      </c>
      <c r="E15" s="44">
        <f t="shared" si="9"/>
        <v>29</v>
      </c>
      <c r="F15" s="31" t="str">
        <f t="shared" si="10"/>
        <v>Mon</v>
      </c>
      <c r="G15" s="10" t="s">
        <v>542</v>
      </c>
      <c r="H15" s="10" t="s">
        <v>12</v>
      </c>
      <c r="I15" t="s">
        <v>464</v>
      </c>
      <c r="J15" s="10" t="s">
        <v>0</v>
      </c>
      <c r="K15" s="5" t="s">
        <v>477</v>
      </c>
      <c r="L15" s="7">
        <v>5</v>
      </c>
      <c r="M15" s="1">
        <v>27000</v>
      </c>
      <c r="N15" s="7">
        <v>40</v>
      </c>
      <c r="O15" s="25">
        <f>IF(G15="EqCash",1,VLOOKUP($I15,fo_mktlots!$B$1:$C$1000,2,0))</f>
        <v>40</v>
      </c>
      <c r="P15" s="38">
        <f>ROUNDUP(VLOOKUP(K15,Levers!$A$5:$B$12,2,0)*Levers!$B$2,0)</f>
        <v>10000</v>
      </c>
      <c r="Q15" s="82">
        <f t="shared" si="11"/>
        <v>6</v>
      </c>
      <c r="R15" s="5">
        <f>Q15+3</f>
        <v>9</v>
      </c>
      <c r="S15" s="39">
        <f t="shared" si="12"/>
        <v>14400</v>
      </c>
      <c r="T15" s="35" t="str">
        <f t="shared" si="27"/>
        <v>I'm taking higher risk</v>
      </c>
      <c r="U15" s="1">
        <v>27030</v>
      </c>
      <c r="V15" s="27">
        <f t="shared" si="14"/>
        <v>43297</v>
      </c>
      <c r="W15" s="26">
        <f t="shared" si="15"/>
        <v>30</v>
      </c>
      <c r="X15" s="12" t="str">
        <f t="shared" si="48"/>
        <v/>
      </c>
      <c r="Y15" s="12">
        <f t="shared" si="49"/>
        <v>20</v>
      </c>
      <c r="Z15" s="12">
        <f t="shared" si="50"/>
        <v>75</v>
      </c>
      <c r="AA15" s="1">
        <v>6</v>
      </c>
      <c r="AD15" s="9">
        <f t="shared" si="19"/>
        <v>7200</v>
      </c>
      <c r="AE15" s="29">
        <f t="shared" si="37"/>
        <v>46800</v>
      </c>
      <c r="AF15" s="29">
        <f t="shared" si="38"/>
        <v>4865.3999999999996</v>
      </c>
      <c r="AG15" s="29">
        <f t="shared" si="39"/>
        <v>24.803999999999998</v>
      </c>
      <c r="AH15" s="29">
        <f t="shared" si="40"/>
        <v>40</v>
      </c>
      <c r="AI15" s="87">
        <f t="shared" si="41"/>
        <v>11.664719999999999</v>
      </c>
      <c r="AJ15" s="87">
        <f t="shared" si="42"/>
        <v>7.0199999999999999E-2</v>
      </c>
      <c r="AK15" s="29"/>
      <c r="AL15" s="29">
        <f t="shared" si="43"/>
        <v>0.93600000000000005</v>
      </c>
      <c r="AM15" s="29">
        <f t="shared" si="44"/>
        <v>4942.8749199999993</v>
      </c>
      <c r="AN15" s="115">
        <f t="shared" si="20"/>
        <v>2257.1250800000007</v>
      </c>
      <c r="AO15" s="90">
        <f t="shared" si="21"/>
        <v>70848.266109999997</v>
      </c>
      <c r="AP15" s="19" t="s">
        <v>517</v>
      </c>
      <c r="AQ15" s="19" t="s">
        <v>517</v>
      </c>
      <c r="AS15" s="30">
        <f t="shared" si="22"/>
        <v>0.75</v>
      </c>
      <c r="AT15" s="30">
        <f t="shared" si="23"/>
        <v>1.875</v>
      </c>
      <c r="AU15" s="91">
        <f t="shared" si="24"/>
        <v>0.4</v>
      </c>
    </row>
    <row r="16" spans="1:47">
      <c r="A16" s="1">
        <f>A15+1</f>
        <v>12</v>
      </c>
      <c r="B16" s="10" t="s">
        <v>13</v>
      </c>
      <c r="C16" s="17">
        <f>C15</f>
        <v>43297</v>
      </c>
      <c r="D16" s="44">
        <f t="shared" si="8"/>
        <v>7</v>
      </c>
      <c r="E16" s="44">
        <f t="shared" si="9"/>
        <v>29</v>
      </c>
      <c r="F16" s="31" t="str">
        <f>TEXT(C16,"ddd")</f>
        <v>Mon</v>
      </c>
      <c r="G16" s="10" t="s">
        <v>542</v>
      </c>
      <c r="H16" s="10" t="s">
        <v>12</v>
      </c>
      <c r="I16" t="s">
        <v>464</v>
      </c>
      <c r="J16" s="10" t="s">
        <v>0</v>
      </c>
      <c r="K16" s="5" t="s">
        <v>477</v>
      </c>
      <c r="L16" s="7">
        <v>5</v>
      </c>
      <c r="M16" s="1">
        <v>27000</v>
      </c>
      <c r="N16" s="7">
        <v>40</v>
      </c>
      <c r="O16" s="25">
        <f>IF(G16="EqCash",1,VLOOKUP($I16,fo_mktlots!$B$1:$C$1000,2,0))</f>
        <v>40</v>
      </c>
      <c r="P16" s="38">
        <f>ROUNDUP(VLOOKUP(K16,Levers!$A$5:$B$12,2,0)*Levers!$B$2,0)</f>
        <v>10000</v>
      </c>
      <c r="Q16" s="82">
        <f t="shared" ref="Q16" si="51">ROUNDDOWN(P16/(O16*N16),0)</f>
        <v>6</v>
      </c>
      <c r="R16" s="5">
        <f>Q16+3</f>
        <v>9</v>
      </c>
      <c r="S16" s="39">
        <f t="shared" ref="S16" si="52">R16*O16*(N16)</f>
        <v>14400</v>
      </c>
      <c r="T16" s="35" t="str">
        <f t="shared" si="27"/>
        <v>I'm taking higher risk</v>
      </c>
      <c r="U16" s="1">
        <v>27030</v>
      </c>
      <c r="V16" s="27">
        <f t="shared" ref="V16" si="53">IF(H16="Intra",C16,C17)</f>
        <v>43297</v>
      </c>
      <c r="W16" s="26">
        <f t="shared" si="15"/>
        <v>30</v>
      </c>
      <c r="X16" s="12" t="str">
        <f>IF(W16&lt;0,N16/2,"")</f>
        <v/>
      </c>
      <c r="Y16" s="12">
        <f>IF(W16&gt;0,N16/3,"")</f>
        <v>13.333333333333334</v>
      </c>
      <c r="Z16" s="12">
        <f>IF(W16&gt;0,W16*2,"")</f>
        <v>60</v>
      </c>
      <c r="AA16" s="1">
        <v>7</v>
      </c>
      <c r="AD16" s="9">
        <f t="shared" ref="AD16" si="54">IF(J16="Buy",(U16-M16)*O16*Q16,-(U16-M16)*O16*Q16)</f>
        <v>7200</v>
      </c>
      <c r="AE16" s="29">
        <f t="shared" si="37"/>
        <v>46800</v>
      </c>
      <c r="AF16" s="29">
        <f t="shared" si="38"/>
        <v>4865.3999999999996</v>
      </c>
      <c r="AG16" s="29">
        <f t="shared" si="39"/>
        <v>24.803999999999998</v>
      </c>
      <c r="AH16" s="29">
        <f t="shared" si="40"/>
        <v>40</v>
      </c>
      <c r="AI16" s="87">
        <f t="shared" si="41"/>
        <v>11.664719999999999</v>
      </c>
      <c r="AJ16" s="87">
        <f t="shared" si="42"/>
        <v>7.0199999999999999E-2</v>
      </c>
      <c r="AK16" s="29"/>
      <c r="AL16" s="29">
        <f t="shared" si="43"/>
        <v>0.93600000000000005</v>
      </c>
      <c r="AM16" s="29">
        <f t="shared" si="44"/>
        <v>4942.8749199999993</v>
      </c>
      <c r="AN16" s="115">
        <f t="shared" ref="AN16" si="55">IFERROR(AD16-AM16,0)</f>
        <v>2257.1250800000007</v>
      </c>
      <c r="AO16" s="90">
        <f t="shared" si="21"/>
        <v>73105.391189999995</v>
      </c>
      <c r="AP16" s="19" t="s">
        <v>517</v>
      </c>
      <c r="AQ16" s="19" t="s">
        <v>517</v>
      </c>
      <c r="AS16" s="30">
        <f t="shared" si="22"/>
        <v>0.75</v>
      </c>
      <c r="AT16" s="30">
        <f t="shared" si="23"/>
        <v>1.5</v>
      </c>
      <c r="AU16" s="91">
        <f t="shared" si="24"/>
        <v>0.5</v>
      </c>
    </row>
    <row r="17" spans="1:47">
      <c r="A17" s="1">
        <f t="shared" ref="A17:A55" si="56">A16+1</f>
        <v>13</v>
      </c>
      <c r="B17" s="10" t="s">
        <v>13</v>
      </c>
      <c r="C17" s="17">
        <f t="shared" si="36"/>
        <v>43298</v>
      </c>
      <c r="D17" s="44">
        <f t="shared" si="8"/>
        <v>7</v>
      </c>
      <c r="E17" s="44">
        <f t="shared" si="9"/>
        <v>29</v>
      </c>
      <c r="F17" s="31" t="str">
        <f t="shared" ref="F17:F27" si="57">TEXT(C17,"ddd")</f>
        <v>Tue</v>
      </c>
      <c r="G17" s="10" t="s">
        <v>541</v>
      </c>
      <c r="H17" s="10" t="s">
        <v>12</v>
      </c>
      <c r="I17" t="s">
        <v>26</v>
      </c>
      <c r="J17" s="10" t="s">
        <v>0</v>
      </c>
      <c r="K17" s="5" t="s">
        <v>476</v>
      </c>
      <c r="L17" s="5">
        <v>5</v>
      </c>
      <c r="M17" s="1">
        <v>11000</v>
      </c>
      <c r="N17" s="7">
        <v>30</v>
      </c>
      <c r="O17" s="25">
        <f>IF(G17="EqCash",1,VLOOKUP($I17,fo_mktlots!$B$1:$C$1000,2,0))</f>
        <v>75</v>
      </c>
      <c r="P17" s="38">
        <f>ROUNDUP(VLOOKUP(K17,Levers!$A$5:$B$12,2,0)*Levers!$B$2,0)</f>
        <v>40000</v>
      </c>
      <c r="Q17" s="82">
        <f t="shared" ref="Q17:Q28" si="58">ROUNDDOWN(P17/(O17*N17),0)</f>
        <v>17</v>
      </c>
      <c r="R17" s="5">
        <f>Q17-10</f>
        <v>7</v>
      </c>
      <c r="S17" s="39">
        <f t="shared" ref="S17:S28" si="59">R17*O17*(N17)</f>
        <v>15750</v>
      </c>
      <c r="T17" s="35" t="str">
        <f t="shared" si="27"/>
        <v>I'm taking too Low risk</v>
      </c>
      <c r="U17" s="1">
        <f>M17+20</f>
        <v>11020</v>
      </c>
      <c r="V17" s="27">
        <f t="shared" ref="V17:V51" si="60">IF(H17="Intra",C17,C18)</f>
        <v>43298</v>
      </c>
      <c r="W17" s="26">
        <f t="shared" si="15"/>
        <v>20</v>
      </c>
      <c r="X17" s="12" t="str">
        <f t="shared" ref="X17:X18" si="61">IF(W17&lt;0,N17/2,"")</f>
        <v/>
      </c>
      <c r="Y17" s="12">
        <f t="shared" ref="Y17:Y18" si="62">IF(W17&gt;0,N17/3,"")</f>
        <v>10</v>
      </c>
      <c r="Z17" s="12">
        <f t="shared" ref="Z17:Z18" si="63">IF(W17&gt;0,W17*2,"")</f>
        <v>40</v>
      </c>
      <c r="AA17" s="7">
        <v>8</v>
      </c>
      <c r="AD17" s="9">
        <f t="shared" ref="AD17:AD51" si="64">IF(J17="Buy",(U17-M17)*O17*Q17,-(U17-M17)*O17*Q17)</f>
        <v>25500</v>
      </c>
      <c r="AE17" s="29">
        <f t="shared" si="37"/>
        <v>11560500</v>
      </c>
      <c r="AF17" s="29">
        <f t="shared" si="38"/>
        <v>578.55000000000007</v>
      </c>
      <c r="AG17" s="29">
        <f t="shared" si="39"/>
        <v>231.21</v>
      </c>
      <c r="AH17" s="29">
        <f t="shared" si="40"/>
        <v>40</v>
      </c>
      <c r="AI17" s="87">
        <f t="shared" si="41"/>
        <v>48.817800000000005</v>
      </c>
      <c r="AJ17" s="87">
        <f t="shared" si="42"/>
        <v>17.34075</v>
      </c>
      <c r="AK17" s="29"/>
      <c r="AL17" s="29">
        <f t="shared" si="43"/>
        <v>231.21</v>
      </c>
      <c r="AM17" s="29">
        <f t="shared" si="44"/>
        <v>1147.1285500000001</v>
      </c>
      <c r="AN17" s="115">
        <f t="shared" ref="AN17:AN51" si="65">IFERROR(AD17-AM17,0)</f>
        <v>24352.871449999999</v>
      </c>
      <c r="AO17" s="90">
        <f t="shared" si="21"/>
        <v>97458.262640000001</v>
      </c>
      <c r="AP17" s="19" t="s">
        <v>517</v>
      </c>
      <c r="AQ17" s="19" t="s">
        <v>517</v>
      </c>
      <c r="AS17" s="30">
        <f t="shared" si="22"/>
        <v>0.66666666666666663</v>
      </c>
      <c r="AT17" s="30">
        <f t="shared" si="23"/>
        <v>1.3333333333333333</v>
      </c>
      <c r="AU17" s="91">
        <f t="shared" si="24"/>
        <v>0.5</v>
      </c>
    </row>
    <row r="18" spans="1:47">
      <c r="A18" s="1">
        <f t="shared" si="56"/>
        <v>14</v>
      </c>
      <c r="B18" s="10" t="s">
        <v>13</v>
      </c>
      <c r="C18" s="17">
        <f t="shared" si="36"/>
        <v>43299</v>
      </c>
      <c r="D18" s="44">
        <f t="shared" si="8"/>
        <v>7</v>
      </c>
      <c r="E18" s="44">
        <f t="shared" si="9"/>
        <v>29</v>
      </c>
      <c r="F18" s="31" t="str">
        <f t="shared" si="57"/>
        <v>Wed</v>
      </c>
      <c r="G18" s="10" t="s">
        <v>541</v>
      </c>
      <c r="H18" s="10" t="s">
        <v>12</v>
      </c>
      <c r="I18" t="s">
        <v>464</v>
      </c>
      <c r="J18" s="10" t="s">
        <v>11</v>
      </c>
      <c r="K18" s="5" t="s">
        <v>478</v>
      </c>
      <c r="L18" s="5">
        <v>60</v>
      </c>
      <c r="M18" s="1">
        <v>27000</v>
      </c>
      <c r="N18" s="7">
        <v>40</v>
      </c>
      <c r="O18" s="25">
        <f>IF(G18="EqCash",1,VLOOKUP($I18,fo_mktlots!$B$1:$C$1000,2,0))</f>
        <v>40</v>
      </c>
      <c r="P18" s="38">
        <f>ROUNDUP(VLOOKUP(K18,Levers!$A$5:$B$12,2,0)*Levers!$B$2,0)</f>
        <v>20000</v>
      </c>
      <c r="Q18" s="82">
        <f t="shared" si="58"/>
        <v>12</v>
      </c>
      <c r="R18" s="5">
        <f>Q18+2</f>
        <v>14</v>
      </c>
      <c r="S18" s="39">
        <f t="shared" si="59"/>
        <v>22400</v>
      </c>
      <c r="T18" s="35" t="str">
        <f t="shared" si="27"/>
        <v>I'm taking higher risk</v>
      </c>
      <c r="U18" s="1">
        <v>27040</v>
      </c>
      <c r="V18" s="27">
        <f t="shared" si="60"/>
        <v>43299</v>
      </c>
      <c r="W18" s="26">
        <f t="shared" si="15"/>
        <v>-40</v>
      </c>
      <c r="X18" s="12">
        <f t="shared" si="61"/>
        <v>20</v>
      </c>
      <c r="Y18" s="12" t="str">
        <f t="shared" si="62"/>
        <v/>
      </c>
      <c r="Z18" s="12" t="str">
        <f t="shared" si="63"/>
        <v/>
      </c>
      <c r="AA18" s="7">
        <v>9</v>
      </c>
      <c r="AD18" s="9">
        <f t="shared" si="64"/>
        <v>-19200</v>
      </c>
      <c r="AE18" s="29">
        <f t="shared" si="37"/>
        <v>30262400</v>
      </c>
      <c r="AF18" s="29">
        <f t="shared" si="38"/>
        <v>1512</v>
      </c>
      <c r="AG18" s="29">
        <f t="shared" si="39"/>
        <v>605.24800000000005</v>
      </c>
      <c r="AH18" s="29">
        <f t="shared" si="40"/>
        <v>40</v>
      </c>
      <c r="AI18" s="87">
        <f t="shared" si="41"/>
        <v>116.14464000000001</v>
      </c>
      <c r="AJ18" s="87">
        <f t="shared" si="42"/>
        <v>45.393599999999999</v>
      </c>
      <c r="AK18" s="29"/>
      <c r="AL18" s="29">
        <f t="shared" si="43"/>
        <v>605.24800000000005</v>
      </c>
      <c r="AM18" s="29">
        <f t="shared" si="44"/>
        <v>2924.03424</v>
      </c>
      <c r="AN18" s="115">
        <f t="shared" si="65"/>
        <v>-22124.034240000001</v>
      </c>
      <c r="AO18" s="90">
        <f t="shared" si="21"/>
        <v>75334.228399999993</v>
      </c>
      <c r="AP18" s="19" t="s">
        <v>548</v>
      </c>
      <c r="AQ18" s="19" t="s">
        <v>517</v>
      </c>
      <c r="AS18" s="30">
        <f t="shared" si="22"/>
        <v>-1</v>
      </c>
      <c r="AT18" s="30" t="str">
        <f t="shared" si="23"/>
        <v/>
      </c>
      <c r="AU18" s="91">
        <f t="shared" si="24"/>
        <v>1</v>
      </c>
    </row>
    <row r="19" spans="1:47">
      <c r="A19" s="1">
        <f t="shared" si="56"/>
        <v>15</v>
      </c>
      <c r="B19" s="10" t="s">
        <v>471</v>
      </c>
      <c r="C19" s="17">
        <f>C18</f>
        <v>43299</v>
      </c>
      <c r="D19" s="44">
        <f t="shared" si="8"/>
        <v>7</v>
      </c>
      <c r="E19" s="44">
        <f t="shared" si="9"/>
        <v>29</v>
      </c>
      <c r="F19" s="31" t="str">
        <f t="shared" si="57"/>
        <v>Wed</v>
      </c>
      <c r="G19" s="10" t="s">
        <v>541</v>
      </c>
      <c r="H19" s="10" t="s">
        <v>12</v>
      </c>
      <c r="I19" t="s">
        <v>427</v>
      </c>
      <c r="J19" s="10" t="s">
        <v>0</v>
      </c>
      <c r="K19" s="5" t="s">
        <v>476</v>
      </c>
      <c r="L19" s="5">
        <v>60</v>
      </c>
      <c r="M19" s="1">
        <v>600</v>
      </c>
      <c r="N19" s="7">
        <v>5</v>
      </c>
      <c r="O19" s="25">
        <f>IF(G19="EqCash",1,VLOOKUP($I19,fo_mktlots!$B$1:$C$1000,2,0))</f>
        <v>1200</v>
      </c>
      <c r="P19" s="38">
        <f>ROUNDUP(VLOOKUP(K19,Levers!$A$5:$B$12,2,0)*Levers!$B$2,0)</f>
        <v>40000</v>
      </c>
      <c r="Q19" s="82">
        <f t="shared" si="58"/>
        <v>6</v>
      </c>
      <c r="R19" s="5">
        <f t="shared" ref="R19:R25" si="66">Q19</f>
        <v>6</v>
      </c>
      <c r="S19" s="39">
        <f t="shared" si="59"/>
        <v>36000</v>
      </c>
      <c r="T19" s="35" t="str">
        <f t="shared" si="27"/>
        <v>Acceptable risk</v>
      </c>
      <c r="U19" s="1">
        <v>595</v>
      </c>
      <c r="V19" s="27">
        <f t="shared" si="60"/>
        <v>43299</v>
      </c>
      <c r="W19" s="26">
        <f t="shared" si="15"/>
        <v>-5</v>
      </c>
      <c r="X19" s="12">
        <f>IF(W19&lt;0,N19/3,"")</f>
        <v>1.6666666666666667</v>
      </c>
      <c r="Y19" s="12" t="str">
        <f>IF(W19&gt;0,N19/2,"")</f>
        <v/>
      </c>
      <c r="Z19" s="12" t="str">
        <f>IF(W19&gt;0,W19*2.5,"")</f>
        <v/>
      </c>
      <c r="AA19" s="1">
        <v>5</v>
      </c>
      <c r="AD19" s="9">
        <f t="shared" si="64"/>
        <v>-36000</v>
      </c>
      <c r="AE19" s="29">
        <f t="shared" si="37"/>
        <v>8604000</v>
      </c>
      <c r="AF19" s="29">
        <f t="shared" si="38"/>
        <v>428.40000000000003</v>
      </c>
      <c r="AG19" s="29">
        <f t="shared" si="39"/>
        <v>172.08</v>
      </c>
      <c r="AH19" s="29">
        <f t="shared" si="40"/>
        <v>40</v>
      </c>
      <c r="AI19" s="87">
        <f t="shared" si="41"/>
        <v>38.174399999999999</v>
      </c>
      <c r="AJ19" s="87">
        <f t="shared" si="42"/>
        <v>12.906000000000001</v>
      </c>
      <c r="AK19" s="29"/>
      <c r="AL19" s="29">
        <f t="shared" si="43"/>
        <v>172.08</v>
      </c>
      <c r="AM19" s="29">
        <f t="shared" si="44"/>
        <v>863.6404</v>
      </c>
      <c r="AN19" s="115">
        <f t="shared" si="65"/>
        <v>-36863.640399999997</v>
      </c>
      <c r="AO19" s="90">
        <f t="shared" si="21"/>
        <v>38470.587999999996</v>
      </c>
      <c r="AP19" s="19" t="s">
        <v>524</v>
      </c>
      <c r="AQ19" s="19" t="s">
        <v>517</v>
      </c>
      <c r="AS19" s="30">
        <f t="shared" si="22"/>
        <v>-1</v>
      </c>
      <c r="AT19" s="30" t="str">
        <f t="shared" si="23"/>
        <v/>
      </c>
      <c r="AU19" s="91">
        <f t="shared" si="24"/>
        <v>1</v>
      </c>
    </row>
    <row r="20" spans="1:47">
      <c r="A20" s="1">
        <f t="shared" si="56"/>
        <v>16</v>
      </c>
      <c r="B20" s="10" t="s">
        <v>13</v>
      </c>
      <c r="C20" s="17">
        <f>C19+1</f>
        <v>43300</v>
      </c>
      <c r="D20" s="44">
        <f t="shared" si="8"/>
        <v>7</v>
      </c>
      <c r="E20" s="44">
        <f t="shared" si="9"/>
        <v>29</v>
      </c>
      <c r="F20" s="31" t="str">
        <f t="shared" si="57"/>
        <v>Thu</v>
      </c>
      <c r="G20" s="10" t="s">
        <v>543</v>
      </c>
      <c r="H20" s="10" t="s">
        <v>15</v>
      </c>
      <c r="I20" t="s">
        <v>427</v>
      </c>
      <c r="J20" s="10" t="s">
        <v>0</v>
      </c>
      <c r="K20" s="5" t="s">
        <v>477</v>
      </c>
      <c r="L20" s="7" t="s">
        <v>568</v>
      </c>
      <c r="M20" s="1">
        <v>600</v>
      </c>
      <c r="N20" s="7">
        <v>5</v>
      </c>
      <c r="O20" s="25">
        <f>IF(G20="EqCash",1,VLOOKUP($I20,fo_mktlots!$B$1:$C$1000,2,0))</f>
        <v>1</v>
      </c>
      <c r="P20" s="38">
        <f>ROUNDUP(VLOOKUP(K20,Levers!$A$5:$B$12,2,0)*Levers!$B$2,0)</f>
        <v>10000</v>
      </c>
      <c r="Q20" s="82">
        <f t="shared" si="58"/>
        <v>2000</v>
      </c>
      <c r="R20" s="5">
        <f t="shared" si="66"/>
        <v>2000</v>
      </c>
      <c r="S20" s="39">
        <f t="shared" si="59"/>
        <v>10000</v>
      </c>
      <c r="T20" s="35" t="str">
        <f t="shared" si="27"/>
        <v>Acceptable risk</v>
      </c>
      <c r="U20" s="1">
        <v>625</v>
      </c>
      <c r="V20" s="27">
        <f t="shared" si="60"/>
        <v>43301</v>
      </c>
      <c r="W20" s="26">
        <f t="shared" si="15"/>
        <v>25</v>
      </c>
      <c r="X20" s="12" t="str">
        <f t="shared" ref="X20:X21" si="67">IF(W20&lt;0,N20/3,"")</f>
        <v/>
      </c>
      <c r="Y20" s="12">
        <f t="shared" ref="Y20:Y21" si="68">IF(W20&gt;0,N20/2,"")</f>
        <v>2.5</v>
      </c>
      <c r="Z20" s="12">
        <f t="shared" ref="Z20:Z21" si="69">IF(W20&gt;0,W20*2.5,"")</f>
        <v>62.5</v>
      </c>
      <c r="AA20" s="1">
        <v>6</v>
      </c>
      <c r="AD20" s="9">
        <f t="shared" si="64"/>
        <v>50000</v>
      </c>
      <c r="AE20" s="29">
        <f t="shared" si="37"/>
        <v>2450000</v>
      </c>
      <c r="AF20" s="29">
        <f t="shared" si="38"/>
        <v>2450</v>
      </c>
      <c r="AG20" s="29">
        <f t="shared" si="39"/>
        <v>79.625</v>
      </c>
      <c r="AH20" s="29">
        <f t="shared" si="40"/>
        <v>40</v>
      </c>
      <c r="AI20" s="87">
        <f t="shared" si="41"/>
        <v>21.532499999999999</v>
      </c>
      <c r="AJ20" s="87">
        <f t="shared" si="42"/>
        <v>3.6749999999999998</v>
      </c>
      <c r="AK20" s="29"/>
      <c r="AL20" s="29">
        <f t="shared" si="43"/>
        <v>245</v>
      </c>
      <c r="AM20" s="29">
        <f t="shared" si="44"/>
        <v>2839.8325</v>
      </c>
      <c r="AN20" s="115">
        <f t="shared" si="65"/>
        <v>47160.167500000003</v>
      </c>
      <c r="AO20" s="90">
        <f t="shared" si="21"/>
        <v>85630.755499999999</v>
      </c>
      <c r="AP20" s="19" t="s">
        <v>517</v>
      </c>
      <c r="AQ20" s="19" t="s">
        <v>517</v>
      </c>
      <c r="AS20" s="30">
        <f t="shared" si="22"/>
        <v>5</v>
      </c>
      <c r="AT20" s="30">
        <f t="shared" si="23"/>
        <v>12.5</v>
      </c>
      <c r="AU20" s="91">
        <f t="shared" si="24"/>
        <v>0.4</v>
      </c>
    </row>
    <row r="21" spans="1:47">
      <c r="A21" s="1">
        <f t="shared" si="56"/>
        <v>17</v>
      </c>
      <c r="B21" s="10" t="s">
        <v>471</v>
      </c>
      <c r="C21" s="17">
        <f>C20+1</f>
        <v>43301</v>
      </c>
      <c r="D21" s="44">
        <f t="shared" si="8"/>
        <v>7</v>
      </c>
      <c r="E21" s="44">
        <f t="shared" si="9"/>
        <v>29</v>
      </c>
      <c r="F21" s="31" t="str">
        <f t="shared" si="57"/>
        <v>Fri</v>
      </c>
      <c r="G21" s="10" t="s">
        <v>543</v>
      </c>
      <c r="H21" s="10" t="s">
        <v>15</v>
      </c>
      <c r="I21" t="s">
        <v>403</v>
      </c>
      <c r="J21" s="10" t="s">
        <v>0</v>
      </c>
      <c r="K21" s="5" t="s">
        <v>478</v>
      </c>
      <c r="L21" s="7" t="s">
        <v>568</v>
      </c>
      <c r="M21" s="1">
        <v>2600</v>
      </c>
      <c r="N21" s="7">
        <v>10</v>
      </c>
      <c r="O21" s="25">
        <f>IF(G21="EqCash",1,VLOOKUP($I21,fo_mktlots!$B$1:$C$1000,2,0))</f>
        <v>1</v>
      </c>
      <c r="P21" s="38">
        <f>ROUNDUP(VLOOKUP(K21,Levers!$A$5:$B$12,2,0)*Levers!$B$2,0)</f>
        <v>20000</v>
      </c>
      <c r="Q21" s="82">
        <f t="shared" si="58"/>
        <v>2000</v>
      </c>
      <c r="R21" s="5">
        <f t="shared" si="66"/>
        <v>2000</v>
      </c>
      <c r="S21" s="39">
        <f t="shared" si="59"/>
        <v>20000</v>
      </c>
      <c r="T21" s="35" t="str">
        <f t="shared" si="27"/>
        <v>Acceptable risk</v>
      </c>
      <c r="U21" s="1">
        <v>2606</v>
      </c>
      <c r="V21" s="27">
        <f t="shared" si="60"/>
        <v>43301</v>
      </c>
      <c r="W21" s="26">
        <f t="shared" si="15"/>
        <v>6</v>
      </c>
      <c r="X21" s="12" t="str">
        <f t="shared" si="67"/>
        <v/>
      </c>
      <c r="Y21" s="12">
        <f t="shared" si="68"/>
        <v>5</v>
      </c>
      <c r="Z21" s="12">
        <f t="shared" si="69"/>
        <v>15</v>
      </c>
      <c r="AA21" s="1">
        <v>7</v>
      </c>
      <c r="AD21" s="9">
        <f t="shared" si="64"/>
        <v>12000</v>
      </c>
      <c r="AE21" s="29">
        <f t="shared" si="37"/>
        <v>10412000</v>
      </c>
      <c r="AF21" s="29">
        <f t="shared" si="38"/>
        <v>10412</v>
      </c>
      <c r="AG21" s="29">
        <f t="shared" si="39"/>
        <v>338.39</v>
      </c>
      <c r="AH21" s="29">
        <f t="shared" si="40"/>
        <v>40</v>
      </c>
      <c r="AI21" s="87">
        <f t="shared" si="41"/>
        <v>68.110199999999992</v>
      </c>
      <c r="AJ21" s="87">
        <f t="shared" si="42"/>
        <v>15.618</v>
      </c>
      <c r="AK21" s="29"/>
      <c r="AL21" s="29">
        <f t="shared" si="43"/>
        <v>1041.2</v>
      </c>
      <c r="AM21" s="29">
        <f t="shared" si="44"/>
        <v>11915.3182</v>
      </c>
      <c r="AN21" s="115">
        <f t="shared" si="65"/>
        <v>84.681800000000294</v>
      </c>
      <c r="AO21" s="90">
        <f t="shared" si="21"/>
        <v>85715.437300000005</v>
      </c>
      <c r="AP21" s="19" t="s">
        <v>517</v>
      </c>
      <c r="AQ21" s="19" t="s">
        <v>517</v>
      </c>
      <c r="AS21" s="30">
        <f t="shared" si="22"/>
        <v>0.6</v>
      </c>
      <c r="AT21" s="30">
        <f t="shared" si="23"/>
        <v>1.5</v>
      </c>
      <c r="AU21" s="91">
        <f t="shared" si="24"/>
        <v>0.39999999999999997</v>
      </c>
    </row>
    <row r="22" spans="1:47">
      <c r="A22" s="1">
        <f t="shared" si="56"/>
        <v>18</v>
      </c>
      <c r="B22" s="10" t="s">
        <v>13</v>
      </c>
      <c r="C22" s="17">
        <f>C21</f>
        <v>43301</v>
      </c>
      <c r="D22" s="44">
        <f t="shared" si="8"/>
        <v>7</v>
      </c>
      <c r="E22" s="44">
        <f t="shared" si="9"/>
        <v>29</v>
      </c>
      <c r="F22" s="31" t="str">
        <f t="shared" si="57"/>
        <v>Fri</v>
      </c>
      <c r="G22" s="10" t="s">
        <v>543</v>
      </c>
      <c r="H22" s="10" t="s">
        <v>15</v>
      </c>
      <c r="I22" t="s">
        <v>403</v>
      </c>
      <c r="J22" s="10" t="s">
        <v>0</v>
      </c>
      <c r="K22" s="5" t="s">
        <v>476</v>
      </c>
      <c r="L22" s="7" t="s">
        <v>568</v>
      </c>
      <c r="M22" s="1">
        <v>2600</v>
      </c>
      <c r="N22" s="7">
        <v>10</v>
      </c>
      <c r="O22" s="25">
        <f>IF(G22="EqCash",1,VLOOKUP($I22,fo_mktlots!$B$1:$C$1000,2,0))</f>
        <v>1</v>
      </c>
      <c r="P22" s="38">
        <f>ROUNDUP(VLOOKUP(K22,Levers!$A$5:$B$12,2,0)*Levers!$B$2,0)</f>
        <v>40000</v>
      </c>
      <c r="Q22" s="82">
        <f t="shared" si="58"/>
        <v>4000</v>
      </c>
      <c r="R22" s="5">
        <f t="shared" si="66"/>
        <v>4000</v>
      </c>
      <c r="S22" s="39">
        <f t="shared" si="59"/>
        <v>40000</v>
      </c>
      <c r="T22" s="35" t="str">
        <f t="shared" si="27"/>
        <v>Acceptable risk</v>
      </c>
      <c r="U22" s="1">
        <v>2590</v>
      </c>
      <c r="V22" s="27">
        <f t="shared" si="60"/>
        <v>43304</v>
      </c>
      <c r="W22" s="26">
        <f t="shared" si="15"/>
        <v>-10</v>
      </c>
      <c r="X22" s="12">
        <f>IF(W22&lt;0,N22/2,"")</f>
        <v>5</v>
      </c>
      <c r="Y22" s="12" t="str">
        <f>IF(W22&gt;0,N22/3,"")</f>
        <v/>
      </c>
      <c r="Z22" s="12" t="str">
        <f>IF(W22&gt;0,W22*2,"")</f>
        <v/>
      </c>
      <c r="AA22" s="7">
        <v>8</v>
      </c>
      <c r="AD22" s="9">
        <f t="shared" si="64"/>
        <v>-40000</v>
      </c>
      <c r="AE22" s="29">
        <f t="shared" si="37"/>
        <v>20760000</v>
      </c>
      <c r="AF22" s="29">
        <f t="shared" si="38"/>
        <v>20760</v>
      </c>
      <c r="AG22" s="29">
        <f t="shared" si="39"/>
        <v>674.7</v>
      </c>
      <c r="AH22" s="29">
        <f t="shared" si="40"/>
        <v>40</v>
      </c>
      <c r="AI22" s="87">
        <f t="shared" si="41"/>
        <v>128.64600000000002</v>
      </c>
      <c r="AJ22" s="87">
        <f t="shared" si="42"/>
        <v>31.14</v>
      </c>
      <c r="AK22" s="29"/>
      <c r="AL22" s="29">
        <f t="shared" si="43"/>
        <v>2076</v>
      </c>
      <c r="AM22" s="29">
        <f t="shared" si="44"/>
        <v>23710.486000000001</v>
      </c>
      <c r="AN22" s="115">
        <f t="shared" si="65"/>
        <v>-63710.486000000004</v>
      </c>
      <c r="AO22" s="90">
        <f t="shared" si="21"/>
        <v>22004.951300000001</v>
      </c>
      <c r="AP22" s="19" t="s">
        <v>548</v>
      </c>
      <c r="AQ22" s="19" t="s">
        <v>517</v>
      </c>
      <c r="AS22" s="30">
        <f t="shared" si="22"/>
        <v>-1</v>
      </c>
      <c r="AT22" s="30" t="str">
        <f t="shared" si="23"/>
        <v/>
      </c>
      <c r="AU22" s="91">
        <f t="shared" si="24"/>
        <v>1</v>
      </c>
    </row>
    <row r="23" spans="1:47">
      <c r="A23" s="1">
        <f t="shared" si="56"/>
        <v>19</v>
      </c>
      <c r="B23" s="10" t="s">
        <v>471</v>
      </c>
      <c r="C23" s="17">
        <f>C22+3</f>
        <v>43304</v>
      </c>
      <c r="D23" s="44">
        <f t="shared" si="8"/>
        <v>7</v>
      </c>
      <c r="E23" s="44">
        <f t="shared" si="9"/>
        <v>30</v>
      </c>
      <c r="F23" s="31" t="str">
        <f t="shared" si="57"/>
        <v>Mon</v>
      </c>
      <c r="G23" s="10" t="s">
        <v>543</v>
      </c>
      <c r="H23" s="10" t="s">
        <v>15</v>
      </c>
      <c r="I23" t="s">
        <v>427</v>
      </c>
      <c r="J23" s="10" t="s">
        <v>0</v>
      </c>
      <c r="K23" s="5" t="s">
        <v>477</v>
      </c>
      <c r="L23" s="7" t="s">
        <v>568</v>
      </c>
      <c r="M23" s="1">
        <v>600</v>
      </c>
      <c r="N23" s="7">
        <v>5</v>
      </c>
      <c r="O23" s="25">
        <f>IF(G23="EqCash",1,VLOOKUP($I23,fo_mktlots!$B$1:$C$1000,2,0))</f>
        <v>1</v>
      </c>
      <c r="P23" s="38">
        <f>ROUNDUP(VLOOKUP(K23,Levers!$A$5:$B$12,2,0)*Levers!$B$2,0)</f>
        <v>10000</v>
      </c>
      <c r="Q23" s="82">
        <f t="shared" si="58"/>
        <v>2000</v>
      </c>
      <c r="R23" s="5">
        <f t="shared" si="66"/>
        <v>2000</v>
      </c>
      <c r="S23" s="39">
        <f t="shared" si="59"/>
        <v>10000</v>
      </c>
      <c r="T23" s="35" t="str">
        <f t="shared" si="27"/>
        <v>Acceptable risk</v>
      </c>
      <c r="U23" s="1">
        <v>615</v>
      </c>
      <c r="V23" s="27">
        <f t="shared" si="60"/>
        <v>43304</v>
      </c>
      <c r="W23" s="26">
        <f t="shared" si="15"/>
        <v>15</v>
      </c>
      <c r="X23" s="12" t="str">
        <f t="shared" ref="X23:X24" si="70">IF(W23&lt;0,N23/2,"")</f>
        <v/>
      </c>
      <c r="Y23" s="12">
        <f t="shared" ref="Y23:Y24" si="71">IF(W23&gt;0,N23/3,"")</f>
        <v>1.6666666666666667</v>
      </c>
      <c r="Z23" s="12">
        <f t="shared" ref="Z23:Z24" si="72">IF(W23&gt;0,W23*2,"")</f>
        <v>30</v>
      </c>
      <c r="AA23" s="7">
        <v>9</v>
      </c>
      <c r="AD23" s="9">
        <f t="shared" si="64"/>
        <v>30000</v>
      </c>
      <c r="AE23" s="29">
        <f t="shared" si="37"/>
        <v>2430000</v>
      </c>
      <c r="AF23" s="29">
        <f t="shared" si="38"/>
        <v>2430</v>
      </c>
      <c r="AG23" s="29">
        <f t="shared" si="39"/>
        <v>78.974999999999994</v>
      </c>
      <c r="AH23" s="29">
        <f t="shared" si="40"/>
        <v>40</v>
      </c>
      <c r="AI23" s="87">
        <f t="shared" si="41"/>
        <v>21.415499999999998</v>
      </c>
      <c r="AJ23" s="87">
        <f t="shared" si="42"/>
        <v>3.645</v>
      </c>
      <c r="AK23" s="29"/>
      <c r="AL23" s="29">
        <f t="shared" si="43"/>
        <v>243</v>
      </c>
      <c r="AM23" s="29">
        <f t="shared" si="44"/>
        <v>2817.0355</v>
      </c>
      <c r="AN23" s="115">
        <f t="shared" si="65"/>
        <v>27182.964500000002</v>
      </c>
      <c r="AO23" s="90">
        <f t="shared" si="21"/>
        <v>49187.915800000002</v>
      </c>
      <c r="AP23" s="19" t="s">
        <v>517</v>
      </c>
      <c r="AQ23" s="19" t="s">
        <v>517</v>
      </c>
      <c r="AS23" s="30">
        <f t="shared" si="22"/>
        <v>3</v>
      </c>
      <c r="AT23" s="30">
        <f t="shared" si="23"/>
        <v>6</v>
      </c>
      <c r="AU23" s="91">
        <f t="shared" si="24"/>
        <v>0.5</v>
      </c>
    </row>
    <row r="24" spans="1:47">
      <c r="A24" s="1">
        <f t="shared" si="56"/>
        <v>20</v>
      </c>
      <c r="B24" s="10" t="s">
        <v>13</v>
      </c>
      <c r="C24" s="17">
        <f>C23</f>
        <v>43304</v>
      </c>
      <c r="D24" s="44">
        <f t="shared" si="8"/>
        <v>7</v>
      </c>
      <c r="E24" s="44">
        <f t="shared" si="9"/>
        <v>30</v>
      </c>
      <c r="F24" s="31" t="str">
        <f t="shared" si="57"/>
        <v>Mon</v>
      </c>
      <c r="G24" s="10" t="s">
        <v>542</v>
      </c>
      <c r="H24" s="10" t="s">
        <v>12</v>
      </c>
      <c r="I24" t="s">
        <v>464</v>
      </c>
      <c r="J24" s="10" t="s">
        <v>11</v>
      </c>
      <c r="K24" s="5" t="s">
        <v>477</v>
      </c>
      <c r="L24" s="5">
        <v>15</v>
      </c>
      <c r="M24" s="1">
        <v>27000</v>
      </c>
      <c r="N24" s="7">
        <v>40</v>
      </c>
      <c r="O24" s="25">
        <f>IF(G24="EqCash",1,VLOOKUP($I24,fo_mktlots!$B$1:$C$1000,2,0))</f>
        <v>40</v>
      </c>
      <c r="P24" s="38">
        <f>ROUNDUP(VLOOKUP(K24,Levers!$A$5:$B$12,2,0)*Levers!$B$2,0)</f>
        <v>10000</v>
      </c>
      <c r="Q24" s="82">
        <f t="shared" si="58"/>
        <v>6</v>
      </c>
      <c r="R24" s="5">
        <f t="shared" si="66"/>
        <v>6</v>
      </c>
      <c r="S24" s="39">
        <f t="shared" si="59"/>
        <v>9600</v>
      </c>
      <c r="T24" s="35" t="str">
        <f t="shared" si="27"/>
        <v>Acceptable risk</v>
      </c>
      <c r="U24" s="1">
        <v>26940</v>
      </c>
      <c r="V24" s="27">
        <f t="shared" si="60"/>
        <v>43304</v>
      </c>
      <c r="W24" s="26">
        <f t="shared" si="15"/>
        <v>60</v>
      </c>
      <c r="X24" s="12" t="str">
        <f t="shared" si="70"/>
        <v/>
      </c>
      <c r="Y24" s="12">
        <f t="shared" si="71"/>
        <v>13.333333333333334</v>
      </c>
      <c r="Z24" s="12">
        <f t="shared" si="72"/>
        <v>120</v>
      </c>
      <c r="AA24" s="1">
        <v>5</v>
      </c>
      <c r="AD24" s="9">
        <f t="shared" si="64"/>
        <v>14400</v>
      </c>
      <c r="AE24" s="29">
        <f t="shared" si="37"/>
        <v>9600</v>
      </c>
      <c r="AF24" s="29">
        <f t="shared" si="38"/>
        <v>3240</v>
      </c>
      <c r="AG24" s="29">
        <f t="shared" si="39"/>
        <v>5.0880000000000001</v>
      </c>
      <c r="AH24" s="29">
        <f t="shared" si="40"/>
        <v>40</v>
      </c>
      <c r="AI24" s="87">
        <f t="shared" si="41"/>
        <v>8.1158400000000004</v>
      </c>
      <c r="AJ24" s="87">
        <f t="shared" si="42"/>
        <v>1.44E-2</v>
      </c>
      <c r="AK24" s="29"/>
      <c r="AL24" s="29">
        <f t="shared" si="43"/>
        <v>0.192</v>
      </c>
      <c r="AM24" s="29">
        <f t="shared" si="44"/>
        <v>3293.4102400000002</v>
      </c>
      <c r="AN24" s="115">
        <f t="shared" si="65"/>
        <v>11106.589759999999</v>
      </c>
      <c r="AO24" s="90">
        <f t="shared" si="21"/>
        <v>60294.505560000005</v>
      </c>
      <c r="AP24" s="19" t="s">
        <v>517</v>
      </c>
      <c r="AQ24" s="19" t="s">
        <v>517</v>
      </c>
      <c r="AS24" s="30">
        <f t="shared" si="22"/>
        <v>1.5</v>
      </c>
      <c r="AT24" s="30">
        <f t="shared" si="23"/>
        <v>3</v>
      </c>
      <c r="AU24" s="91">
        <f t="shared" si="24"/>
        <v>0.5</v>
      </c>
    </row>
    <row r="25" spans="1:47">
      <c r="A25" s="1">
        <f t="shared" si="56"/>
        <v>21</v>
      </c>
      <c r="B25" s="10" t="s">
        <v>471</v>
      </c>
      <c r="C25" s="17">
        <f t="shared" si="36"/>
        <v>43305</v>
      </c>
      <c r="D25" s="44">
        <f t="shared" si="8"/>
        <v>7</v>
      </c>
      <c r="E25" s="44">
        <f t="shared" si="9"/>
        <v>30</v>
      </c>
      <c r="F25" s="31" t="str">
        <f t="shared" si="57"/>
        <v>Tue</v>
      </c>
      <c r="G25" s="10" t="s">
        <v>542</v>
      </c>
      <c r="H25" s="10" t="s">
        <v>12</v>
      </c>
      <c r="I25" t="s">
        <v>403</v>
      </c>
      <c r="J25" s="10" t="s">
        <v>11</v>
      </c>
      <c r="K25" s="5" t="s">
        <v>478</v>
      </c>
      <c r="L25" s="5">
        <v>5</v>
      </c>
      <c r="M25" s="1">
        <v>2600</v>
      </c>
      <c r="N25" s="7">
        <v>10</v>
      </c>
      <c r="O25" s="25">
        <f>IF(G25="EqCash",1,VLOOKUP($I25,fo_mktlots!$B$1:$C$1000,2,0))</f>
        <v>250</v>
      </c>
      <c r="P25" s="38">
        <f>ROUNDUP(VLOOKUP(K25,Levers!$A$5:$B$12,2,0)*Levers!$B$2,0)</f>
        <v>20000</v>
      </c>
      <c r="Q25" s="82">
        <f t="shared" si="58"/>
        <v>8</v>
      </c>
      <c r="R25" s="5">
        <f t="shared" si="66"/>
        <v>8</v>
      </c>
      <c r="S25" s="39">
        <f t="shared" si="59"/>
        <v>20000</v>
      </c>
      <c r="T25" s="35" t="str">
        <f t="shared" si="27"/>
        <v>Acceptable risk</v>
      </c>
      <c r="U25" s="1">
        <f>M25-11</f>
        <v>2589</v>
      </c>
      <c r="V25" s="27">
        <f t="shared" si="60"/>
        <v>43305</v>
      </c>
      <c r="W25" s="26">
        <f t="shared" si="15"/>
        <v>11</v>
      </c>
      <c r="X25" s="12" t="str">
        <f>IF(W25&lt;0,N25/3,"")</f>
        <v/>
      </c>
      <c r="Y25" s="12">
        <f>IF(W25&gt;0,N25/2,"")</f>
        <v>5</v>
      </c>
      <c r="Z25" s="12">
        <f>IF(W25&gt;0,W25*2.5,"")</f>
        <v>27.5</v>
      </c>
      <c r="AA25" s="1">
        <v>6</v>
      </c>
      <c r="AD25" s="9">
        <f t="shared" si="64"/>
        <v>22000</v>
      </c>
      <c r="AE25" s="29">
        <f t="shared" si="37"/>
        <v>178000</v>
      </c>
      <c r="AF25" s="29">
        <f t="shared" si="38"/>
        <v>2600</v>
      </c>
      <c r="AG25" s="29">
        <f t="shared" si="39"/>
        <v>94.34</v>
      </c>
      <c r="AH25" s="29">
        <f t="shared" si="40"/>
        <v>40</v>
      </c>
      <c r="AI25" s="87">
        <f t="shared" si="41"/>
        <v>24.1812</v>
      </c>
      <c r="AJ25" s="87">
        <f t="shared" si="42"/>
        <v>0.26700000000000002</v>
      </c>
      <c r="AK25" s="29"/>
      <c r="AL25" s="29">
        <f t="shared" si="43"/>
        <v>3.5600000000000005</v>
      </c>
      <c r="AM25" s="29">
        <f t="shared" si="44"/>
        <v>2762.3481999999999</v>
      </c>
      <c r="AN25" s="115">
        <f t="shared" si="65"/>
        <v>19237.6518</v>
      </c>
      <c r="AO25" s="90">
        <f t="shared" si="21"/>
        <v>79532.157360000012</v>
      </c>
      <c r="AP25" s="19" t="s">
        <v>517</v>
      </c>
      <c r="AQ25" s="19" t="s">
        <v>517</v>
      </c>
      <c r="AS25" s="30">
        <f t="shared" si="22"/>
        <v>1.1000000000000001</v>
      </c>
      <c r="AT25" s="30">
        <f t="shared" si="23"/>
        <v>2.75</v>
      </c>
      <c r="AU25" s="91">
        <f t="shared" si="24"/>
        <v>0.4</v>
      </c>
    </row>
    <row r="26" spans="1:47">
      <c r="A26" s="1">
        <f t="shared" si="56"/>
        <v>22</v>
      </c>
      <c r="B26" s="10" t="s">
        <v>13</v>
      </c>
      <c r="C26" s="17">
        <f t="shared" si="36"/>
        <v>43306</v>
      </c>
      <c r="D26" s="44">
        <f t="shared" si="8"/>
        <v>7</v>
      </c>
      <c r="E26" s="44">
        <f t="shared" si="9"/>
        <v>30</v>
      </c>
      <c r="F26" s="31" t="str">
        <f t="shared" si="57"/>
        <v>Wed</v>
      </c>
      <c r="G26" s="10" t="s">
        <v>542</v>
      </c>
      <c r="H26" s="10" t="s">
        <v>12</v>
      </c>
      <c r="I26" t="s">
        <v>26</v>
      </c>
      <c r="J26" s="10" t="s">
        <v>11</v>
      </c>
      <c r="K26" s="5" t="s">
        <v>478</v>
      </c>
      <c r="L26" s="5">
        <v>60</v>
      </c>
      <c r="M26" s="1">
        <v>11000</v>
      </c>
      <c r="N26" s="7">
        <v>30</v>
      </c>
      <c r="O26" s="25">
        <f>IF(G26="EqCash",1,VLOOKUP($I26,fo_mktlots!$B$1:$C$1000,2,0))</f>
        <v>75</v>
      </c>
      <c r="P26" s="38">
        <f>ROUNDUP(VLOOKUP(K26,Levers!$A$5:$B$12,2,0)*Levers!$B$2,0)</f>
        <v>20000</v>
      </c>
      <c r="Q26" s="82">
        <f t="shared" si="58"/>
        <v>8</v>
      </c>
      <c r="R26" s="5">
        <f>Q26+5</f>
        <v>13</v>
      </c>
      <c r="S26" s="39">
        <f t="shared" si="59"/>
        <v>29250</v>
      </c>
      <c r="T26" s="35" t="str">
        <f t="shared" si="27"/>
        <v>I'm taking higher risk</v>
      </c>
      <c r="U26" s="1">
        <v>11030</v>
      </c>
      <c r="V26" s="27">
        <f t="shared" si="60"/>
        <v>43306</v>
      </c>
      <c r="W26" s="26">
        <f t="shared" si="15"/>
        <v>-30</v>
      </c>
      <c r="X26" s="12">
        <f t="shared" ref="X26:X27" si="73">IF(W26&lt;0,N26/3,"")</f>
        <v>10</v>
      </c>
      <c r="Y26" s="12" t="str">
        <f t="shared" ref="Y26:Y27" si="74">IF(W26&gt;0,N26/2,"")</f>
        <v/>
      </c>
      <c r="Z26" s="12" t="str">
        <f t="shared" ref="Z26:Z27" si="75">IF(W26&gt;0,W26*2.5,"")</f>
        <v/>
      </c>
      <c r="AA26" s="1">
        <v>7</v>
      </c>
      <c r="AD26" s="9">
        <f t="shared" si="64"/>
        <v>-18000</v>
      </c>
      <c r="AE26" s="29">
        <f t="shared" si="37"/>
        <v>126750</v>
      </c>
      <c r="AF26" s="29">
        <f t="shared" si="38"/>
        <v>5362.5</v>
      </c>
      <c r="AG26" s="29">
        <f t="shared" si="39"/>
        <v>67.177499999999995</v>
      </c>
      <c r="AH26" s="29">
        <f t="shared" si="40"/>
        <v>40</v>
      </c>
      <c r="AI26" s="87">
        <f t="shared" si="41"/>
        <v>19.29195</v>
      </c>
      <c r="AJ26" s="87">
        <f t="shared" si="42"/>
        <v>0.19012499999999999</v>
      </c>
      <c r="AK26" s="29"/>
      <c r="AL26" s="29">
        <f t="shared" si="43"/>
        <v>2.5350000000000001</v>
      </c>
      <c r="AM26" s="29">
        <f t="shared" si="44"/>
        <v>5491.6945749999995</v>
      </c>
      <c r="AN26" s="115">
        <f t="shared" si="65"/>
        <v>-23491.694575000001</v>
      </c>
      <c r="AO26" s="90">
        <f t="shared" si="21"/>
        <v>56040.462785000011</v>
      </c>
      <c r="AP26" s="19" t="s">
        <v>548</v>
      </c>
      <c r="AQ26" s="19" t="s">
        <v>517</v>
      </c>
      <c r="AS26" s="30">
        <f t="shared" si="22"/>
        <v>-1</v>
      </c>
      <c r="AT26" s="30" t="str">
        <f t="shared" si="23"/>
        <v/>
      </c>
      <c r="AU26" s="91">
        <f t="shared" si="24"/>
        <v>1</v>
      </c>
    </row>
    <row r="27" spans="1:47">
      <c r="A27" s="1">
        <f t="shared" si="56"/>
        <v>23</v>
      </c>
      <c r="B27" s="10" t="s">
        <v>471</v>
      </c>
      <c r="C27" s="17">
        <f>C26</f>
        <v>43306</v>
      </c>
      <c r="D27" s="44">
        <f t="shared" si="8"/>
        <v>7</v>
      </c>
      <c r="E27" s="44">
        <f t="shared" si="9"/>
        <v>30</v>
      </c>
      <c r="F27" s="31" t="str">
        <f t="shared" si="57"/>
        <v>Wed</v>
      </c>
      <c r="G27" s="10" t="s">
        <v>542</v>
      </c>
      <c r="H27" s="10" t="s">
        <v>12</v>
      </c>
      <c r="I27" t="s">
        <v>464</v>
      </c>
      <c r="J27" s="10" t="s">
        <v>0</v>
      </c>
      <c r="K27" s="5" t="s">
        <v>476</v>
      </c>
      <c r="L27" s="7">
        <v>5</v>
      </c>
      <c r="M27" s="1">
        <v>27000</v>
      </c>
      <c r="N27" s="7">
        <v>40</v>
      </c>
      <c r="O27" s="25">
        <f>IF(G27="EqCash",1,VLOOKUP($I27,fo_mktlots!$B$1:$C$1000,2,0))</f>
        <v>40</v>
      </c>
      <c r="P27" s="38">
        <f>ROUNDUP(VLOOKUP(K27,Levers!$A$5:$B$12,2,0)*Levers!$B$2,0)</f>
        <v>40000</v>
      </c>
      <c r="Q27" s="82">
        <f t="shared" si="58"/>
        <v>25</v>
      </c>
      <c r="R27" s="5">
        <f>Q27+3</f>
        <v>28</v>
      </c>
      <c r="S27" s="39">
        <f t="shared" si="59"/>
        <v>44800</v>
      </c>
      <c r="T27" s="35" t="str">
        <f t="shared" si="27"/>
        <v>I'm taking higher risk</v>
      </c>
      <c r="U27" s="1">
        <v>27030</v>
      </c>
      <c r="V27" s="27">
        <f t="shared" si="60"/>
        <v>43306</v>
      </c>
      <c r="W27" s="26">
        <f t="shared" si="15"/>
        <v>30</v>
      </c>
      <c r="X27" s="12" t="str">
        <f t="shared" si="73"/>
        <v/>
      </c>
      <c r="Y27" s="12">
        <f t="shared" si="74"/>
        <v>20</v>
      </c>
      <c r="Z27" s="12">
        <f t="shared" si="75"/>
        <v>75</v>
      </c>
      <c r="AA27" s="7">
        <v>8</v>
      </c>
      <c r="AD27" s="9">
        <f t="shared" si="64"/>
        <v>30000</v>
      </c>
      <c r="AE27" s="29">
        <f t="shared" si="37"/>
        <v>145600</v>
      </c>
      <c r="AF27" s="29">
        <f t="shared" si="38"/>
        <v>15136.800000000001</v>
      </c>
      <c r="AG27" s="29">
        <f t="shared" si="39"/>
        <v>77.168000000000006</v>
      </c>
      <c r="AH27" s="29">
        <f t="shared" si="40"/>
        <v>40</v>
      </c>
      <c r="AI27" s="87">
        <f t="shared" si="41"/>
        <v>21.090240000000001</v>
      </c>
      <c r="AJ27" s="87">
        <f t="shared" si="42"/>
        <v>0.21840000000000001</v>
      </c>
      <c r="AK27" s="29"/>
      <c r="AL27" s="29">
        <f t="shared" si="43"/>
        <v>2.9120000000000004</v>
      </c>
      <c r="AM27" s="29">
        <f t="shared" si="44"/>
        <v>15278.18864</v>
      </c>
      <c r="AN27" s="115">
        <f t="shared" si="65"/>
        <v>14721.81136</v>
      </c>
      <c r="AO27" s="90">
        <f t="shared" si="21"/>
        <v>70762.274145000003</v>
      </c>
      <c r="AP27" s="19" t="s">
        <v>517</v>
      </c>
      <c r="AQ27" s="19" t="s">
        <v>517</v>
      </c>
      <c r="AS27" s="30">
        <f t="shared" si="22"/>
        <v>0.75</v>
      </c>
      <c r="AT27" s="30">
        <f t="shared" si="23"/>
        <v>1.875</v>
      </c>
      <c r="AU27" s="91">
        <f t="shared" si="24"/>
        <v>0.4</v>
      </c>
    </row>
    <row r="28" spans="1:47">
      <c r="A28" s="1">
        <f t="shared" si="56"/>
        <v>24</v>
      </c>
      <c r="B28" s="10" t="s">
        <v>13</v>
      </c>
      <c r="C28" s="17">
        <f>C27+1</f>
        <v>43307</v>
      </c>
      <c r="D28" s="44">
        <f t="shared" si="8"/>
        <v>7</v>
      </c>
      <c r="E28" s="44">
        <f t="shared" si="9"/>
        <v>30</v>
      </c>
      <c r="F28" s="31" t="str">
        <f>TEXT(C28,"ddd")</f>
        <v>Thu</v>
      </c>
      <c r="G28" s="10" t="s">
        <v>542</v>
      </c>
      <c r="H28" s="10" t="s">
        <v>12</v>
      </c>
      <c r="I28" t="s">
        <v>464</v>
      </c>
      <c r="J28" s="10" t="s">
        <v>0</v>
      </c>
      <c r="K28" s="5" t="s">
        <v>477</v>
      </c>
      <c r="L28" s="7">
        <v>5</v>
      </c>
      <c r="M28" s="1">
        <v>27000</v>
      </c>
      <c r="N28" s="7">
        <v>40</v>
      </c>
      <c r="O28" s="25">
        <f>IF(G28="EqCash",1,VLOOKUP($I28,fo_mktlots!$B$1:$C$1000,2,0))</f>
        <v>40</v>
      </c>
      <c r="P28" s="38">
        <f>ROUNDUP(VLOOKUP(K28,Levers!$A$5:$B$12,2,0)*Levers!$B$2,0)</f>
        <v>10000</v>
      </c>
      <c r="Q28" s="82">
        <f t="shared" si="58"/>
        <v>6</v>
      </c>
      <c r="R28" s="5">
        <f>Q28+3</f>
        <v>9</v>
      </c>
      <c r="S28" s="39">
        <f t="shared" si="59"/>
        <v>14400</v>
      </c>
      <c r="T28" s="35" t="str">
        <f t="shared" si="27"/>
        <v>I'm taking higher risk</v>
      </c>
      <c r="U28" s="1">
        <v>27030</v>
      </c>
      <c r="V28" s="27">
        <f t="shared" si="60"/>
        <v>43307</v>
      </c>
      <c r="W28" s="26">
        <f t="shared" si="15"/>
        <v>30</v>
      </c>
      <c r="X28" s="12" t="str">
        <f>IF(W28&lt;0,N28/2,"")</f>
        <v/>
      </c>
      <c r="Y28" s="12">
        <f>IF(W28&gt;0,N28/3,"")</f>
        <v>13.333333333333334</v>
      </c>
      <c r="Z28" s="12">
        <f>IF(W28&gt;0,W28*2,"")</f>
        <v>60</v>
      </c>
      <c r="AA28" s="7">
        <v>9</v>
      </c>
      <c r="AD28" s="9">
        <f t="shared" si="64"/>
        <v>7200</v>
      </c>
      <c r="AE28" s="29">
        <f t="shared" si="37"/>
        <v>46800</v>
      </c>
      <c r="AF28" s="29">
        <f t="shared" si="38"/>
        <v>4865.3999999999996</v>
      </c>
      <c r="AG28" s="29">
        <f t="shared" si="39"/>
        <v>24.803999999999998</v>
      </c>
      <c r="AH28" s="29">
        <f t="shared" si="40"/>
        <v>40</v>
      </c>
      <c r="AI28" s="87">
        <f t="shared" si="41"/>
        <v>11.664719999999999</v>
      </c>
      <c r="AJ28" s="87">
        <f t="shared" si="42"/>
        <v>7.0199999999999999E-2</v>
      </c>
      <c r="AK28" s="29"/>
      <c r="AL28" s="29">
        <f t="shared" si="43"/>
        <v>0.93600000000000005</v>
      </c>
      <c r="AM28" s="29">
        <f t="shared" si="44"/>
        <v>4942.8749199999993</v>
      </c>
      <c r="AN28" s="115">
        <f t="shared" si="65"/>
        <v>2257.1250800000007</v>
      </c>
      <c r="AO28" s="90">
        <f t="shared" si="21"/>
        <v>73019.399225000001</v>
      </c>
      <c r="AP28" s="19" t="s">
        <v>519</v>
      </c>
      <c r="AQ28" s="19" t="s">
        <v>524</v>
      </c>
      <c r="AS28" s="30">
        <f t="shared" si="22"/>
        <v>0.75</v>
      </c>
      <c r="AT28" s="30">
        <f t="shared" si="23"/>
        <v>1.5</v>
      </c>
      <c r="AU28" s="91">
        <f t="shared" si="24"/>
        <v>0.5</v>
      </c>
    </row>
    <row r="29" spans="1:47">
      <c r="A29" s="1">
        <f t="shared" si="56"/>
        <v>25</v>
      </c>
      <c r="B29" s="10" t="s">
        <v>471</v>
      </c>
      <c r="C29" s="17">
        <f>C28+1</f>
        <v>43308</v>
      </c>
      <c r="D29" s="44">
        <f t="shared" si="8"/>
        <v>7</v>
      </c>
      <c r="E29" s="44">
        <f t="shared" si="9"/>
        <v>30</v>
      </c>
      <c r="F29" s="31" t="str">
        <f t="shared" ref="F29:F39" si="76">TEXT(C29,"ddd")</f>
        <v>Fri</v>
      </c>
      <c r="G29" s="10" t="s">
        <v>541</v>
      </c>
      <c r="H29" s="10" t="s">
        <v>12</v>
      </c>
      <c r="I29" t="s">
        <v>26</v>
      </c>
      <c r="J29" s="10" t="s">
        <v>0</v>
      </c>
      <c r="K29" s="5" t="s">
        <v>476</v>
      </c>
      <c r="L29" s="5">
        <v>5</v>
      </c>
      <c r="M29" s="1">
        <v>11000</v>
      </c>
      <c r="N29" s="7">
        <v>30</v>
      </c>
      <c r="O29" s="25">
        <f>IF(G29="EqCash",1,VLOOKUP($I29,fo_mktlots!$B$1:$C$1000,2,0))</f>
        <v>75</v>
      </c>
      <c r="P29" s="38">
        <f>ROUNDUP(VLOOKUP(K29,Levers!$A$5:$B$12,2,0)*Levers!$B$2,0)</f>
        <v>40000</v>
      </c>
      <c r="Q29" s="82">
        <f t="shared" ref="Q29:Q40" si="77">ROUNDDOWN(P29/(O29*N29),0)</f>
        <v>17</v>
      </c>
      <c r="R29" s="5">
        <f>Q29-10</f>
        <v>7</v>
      </c>
      <c r="S29" s="39">
        <f t="shared" ref="S29:S40" si="78">R29*O29*(N29)</f>
        <v>15750</v>
      </c>
      <c r="T29" s="35" t="str">
        <f t="shared" si="27"/>
        <v>I'm taking too Low risk</v>
      </c>
      <c r="U29" s="1">
        <f>M29+20</f>
        <v>11020</v>
      </c>
      <c r="V29" s="27">
        <f t="shared" si="60"/>
        <v>43308</v>
      </c>
      <c r="W29" s="26">
        <f t="shared" si="15"/>
        <v>20</v>
      </c>
      <c r="X29" s="12" t="str">
        <f t="shared" ref="X29:X30" si="79">IF(W29&lt;0,N29/2,"")</f>
        <v/>
      </c>
      <c r="Y29" s="12">
        <f t="shared" ref="Y29:Y30" si="80">IF(W29&gt;0,N29/3,"")</f>
        <v>10</v>
      </c>
      <c r="Z29" s="12">
        <f t="shared" ref="Z29:Z30" si="81">IF(W29&gt;0,W29*2,"")</f>
        <v>40</v>
      </c>
      <c r="AA29" s="1">
        <v>5</v>
      </c>
      <c r="AD29" s="9">
        <f t="shared" si="64"/>
        <v>25500</v>
      </c>
      <c r="AE29" s="29">
        <f t="shared" si="37"/>
        <v>11560500</v>
      </c>
      <c r="AF29" s="29">
        <f t="shared" si="38"/>
        <v>578.55000000000007</v>
      </c>
      <c r="AG29" s="29">
        <f t="shared" si="39"/>
        <v>231.21</v>
      </c>
      <c r="AH29" s="29">
        <f t="shared" si="40"/>
        <v>40</v>
      </c>
      <c r="AI29" s="87">
        <f t="shared" si="41"/>
        <v>48.817800000000005</v>
      </c>
      <c r="AJ29" s="87">
        <f t="shared" si="42"/>
        <v>17.34075</v>
      </c>
      <c r="AK29" s="29"/>
      <c r="AL29" s="29">
        <f t="shared" si="43"/>
        <v>231.21</v>
      </c>
      <c r="AM29" s="29">
        <f t="shared" si="44"/>
        <v>1147.1285500000001</v>
      </c>
      <c r="AN29" s="115">
        <f t="shared" si="65"/>
        <v>24352.871449999999</v>
      </c>
      <c r="AO29" s="90">
        <f t="shared" si="21"/>
        <v>97372.270675000007</v>
      </c>
      <c r="AP29" s="19" t="s">
        <v>517</v>
      </c>
      <c r="AQ29" s="19" t="s">
        <v>517</v>
      </c>
      <c r="AS29" s="30">
        <f t="shared" si="22"/>
        <v>0.66666666666666663</v>
      </c>
      <c r="AT29" s="30">
        <f t="shared" si="23"/>
        <v>1.3333333333333333</v>
      </c>
      <c r="AU29" s="91">
        <f t="shared" si="24"/>
        <v>0.5</v>
      </c>
    </row>
    <row r="30" spans="1:47">
      <c r="A30" s="1">
        <f t="shared" si="56"/>
        <v>26</v>
      </c>
      <c r="B30" s="10" t="s">
        <v>13</v>
      </c>
      <c r="C30" s="17">
        <f>C29</f>
        <v>43308</v>
      </c>
      <c r="D30" s="44">
        <f t="shared" si="8"/>
        <v>7</v>
      </c>
      <c r="E30" s="44">
        <f t="shared" si="9"/>
        <v>30</v>
      </c>
      <c r="F30" s="31" t="str">
        <f t="shared" si="76"/>
        <v>Fri</v>
      </c>
      <c r="G30" s="10" t="s">
        <v>541</v>
      </c>
      <c r="H30" s="10" t="s">
        <v>12</v>
      </c>
      <c r="I30" t="s">
        <v>464</v>
      </c>
      <c r="J30" s="10" t="s">
        <v>11</v>
      </c>
      <c r="K30" s="5" t="s">
        <v>477</v>
      </c>
      <c r="L30" s="5">
        <v>60</v>
      </c>
      <c r="M30" s="1">
        <v>27000</v>
      </c>
      <c r="N30" s="7">
        <v>40</v>
      </c>
      <c r="O30" s="25">
        <f>IF(G30="EqCash",1,VLOOKUP($I30,fo_mktlots!$B$1:$C$1000,2,0))</f>
        <v>40</v>
      </c>
      <c r="P30" s="38">
        <f>ROUNDUP(VLOOKUP(K30,Levers!$A$5:$B$12,2,0)*Levers!$B$2,0)</f>
        <v>10000</v>
      </c>
      <c r="Q30" s="82">
        <f t="shared" si="77"/>
        <v>6</v>
      </c>
      <c r="R30" s="5">
        <f>Q30+2</f>
        <v>8</v>
      </c>
      <c r="S30" s="39">
        <f t="shared" si="78"/>
        <v>12800</v>
      </c>
      <c r="T30" s="35" t="str">
        <f t="shared" si="27"/>
        <v>I'm taking higher risk</v>
      </c>
      <c r="U30" s="1">
        <v>27040</v>
      </c>
      <c r="V30" s="27">
        <f t="shared" si="60"/>
        <v>43308</v>
      </c>
      <c r="W30" s="26">
        <f t="shared" si="15"/>
        <v>-40</v>
      </c>
      <c r="X30" s="12">
        <f t="shared" si="79"/>
        <v>20</v>
      </c>
      <c r="Y30" s="12" t="str">
        <f t="shared" si="80"/>
        <v/>
      </c>
      <c r="Z30" s="12" t="str">
        <f t="shared" si="81"/>
        <v/>
      </c>
      <c r="AA30" s="1">
        <v>6</v>
      </c>
      <c r="AD30" s="9">
        <f t="shared" si="64"/>
        <v>-9600</v>
      </c>
      <c r="AE30" s="29">
        <f t="shared" si="37"/>
        <v>17292800</v>
      </c>
      <c r="AF30" s="29">
        <f t="shared" si="38"/>
        <v>864</v>
      </c>
      <c r="AG30" s="29">
        <f t="shared" si="39"/>
        <v>345.85599999999999</v>
      </c>
      <c r="AH30" s="29">
        <f t="shared" si="40"/>
        <v>40</v>
      </c>
      <c r="AI30" s="87">
        <f t="shared" si="41"/>
        <v>69.45407999999999</v>
      </c>
      <c r="AJ30" s="87">
        <f t="shared" si="42"/>
        <v>25.9392</v>
      </c>
      <c r="AK30" s="29"/>
      <c r="AL30" s="29">
        <f t="shared" si="43"/>
        <v>345.85600000000005</v>
      </c>
      <c r="AM30" s="29">
        <f t="shared" si="44"/>
        <v>1691.10528</v>
      </c>
      <c r="AN30" s="115">
        <f t="shared" si="65"/>
        <v>-11291.10528</v>
      </c>
      <c r="AO30" s="90">
        <f t="shared" si="21"/>
        <v>86081.165395000004</v>
      </c>
      <c r="AP30" s="19" t="s">
        <v>524</v>
      </c>
      <c r="AQ30" s="19" t="s">
        <v>517</v>
      </c>
      <c r="AS30" s="30">
        <f t="shared" si="22"/>
        <v>-1</v>
      </c>
      <c r="AT30" s="30" t="str">
        <f t="shared" si="23"/>
        <v/>
      </c>
      <c r="AU30" s="91">
        <f t="shared" si="24"/>
        <v>1</v>
      </c>
    </row>
    <row r="31" spans="1:47">
      <c r="A31" s="1">
        <f t="shared" si="56"/>
        <v>27</v>
      </c>
      <c r="B31" s="10" t="s">
        <v>471</v>
      </c>
      <c r="C31" s="17">
        <f>C30+3</f>
        <v>43311</v>
      </c>
      <c r="D31" s="44">
        <f t="shared" si="8"/>
        <v>7</v>
      </c>
      <c r="E31" s="44">
        <f t="shared" si="9"/>
        <v>31</v>
      </c>
      <c r="F31" s="31" t="str">
        <f t="shared" si="76"/>
        <v>Mon</v>
      </c>
      <c r="G31" s="10" t="s">
        <v>541</v>
      </c>
      <c r="H31" s="10" t="s">
        <v>12</v>
      </c>
      <c r="I31" t="s">
        <v>427</v>
      </c>
      <c r="J31" s="10" t="s">
        <v>0</v>
      </c>
      <c r="K31" s="5" t="s">
        <v>478</v>
      </c>
      <c r="L31" s="5">
        <v>60</v>
      </c>
      <c r="M31" s="1">
        <v>600</v>
      </c>
      <c r="N31" s="7">
        <v>5</v>
      </c>
      <c r="O31" s="25">
        <f>IF(G31="EqCash",1,VLOOKUP($I31,fo_mktlots!$B$1:$C$1000,2,0))</f>
        <v>1200</v>
      </c>
      <c r="P31" s="38">
        <f>ROUNDUP(VLOOKUP(K31,Levers!$A$5:$B$12,2,0)*Levers!$B$2,0)</f>
        <v>20000</v>
      </c>
      <c r="Q31" s="82">
        <f t="shared" si="77"/>
        <v>3</v>
      </c>
      <c r="R31" s="5">
        <f t="shared" ref="R31:R37" si="82">Q31</f>
        <v>3</v>
      </c>
      <c r="S31" s="39">
        <f t="shared" si="78"/>
        <v>18000</v>
      </c>
      <c r="T31" s="35" t="str">
        <f t="shared" si="27"/>
        <v>Acceptable risk</v>
      </c>
      <c r="U31" s="1">
        <v>599</v>
      </c>
      <c r="V31" s="27">
        <f t="shared" si="60"/>
        <v>43311</v>
      </c>
      <c r="W31" s="26">
        <f t="shared" si="15"/>
        <v>-1</v>
      </c>
      <c r="X31" s="12">
        <f>IF(W31&lt;0,N31/3,"")</f>
        <v>1.6666666666666667</v>
      </c>
      <c r="Y31" s="12" t="str">
        <f>IF(W31&gt;0,N31/2,"")</f>
        <v/>
      </c>
      <c r="Z31" s="12" t="str">
        <f>IF(W31&gt;0,W31*2.5,"")</f>
        <v/>
      </c>
      <c r="AA31" s="1">
        <v>7</v>
      </c>
      <c r="AD31" s="9">
        <f t="shared" si="64"/>
        <v>-3600</v>
      </c>
      <c r="AE31" s="29">
        <f t="shared" si="37"/>
        <v>4316400</v>
      </c>
      <c r="AF31" s="29">
        <f t="shared" si="38"/>
        <v>215.64000000000001</v>
      </c>
      <c r="AG31" s="29">
        <f t="shared" si="39"/>
        <v>86.328000000000003</v>
      </c>
      <c r="AH31" s="29">
        <f t="shared" si="40"/>
        <v>40</v>
      </c>
      <c r="AI31" s="87">
        <f t="shared" si="41"/>
        <v>22.739039999999999</v>
      </c>
      <c r="AJ31" s="87">
        <f t="shared" si="42"/>
        <v>6.4745999999999997</v>
      </c>
      <c r="AK31" s="29"/>
      <c r="AL31" s="29">
        <f t="shared" si="43"/>
        <v>86.328000000000003</v>
      </c>
      <c r="AM31" s="29">
        <f t="shared" si="44"/>
        <v>457.50963999999999</v>
      </c>
      <c r="AN31" s="115">
        <f t="shared" si="65"/>
        <v>-4057.5096400000002</v>
      </c>
      <c r="AO31" s="90">
        <f t="shared" si="21"/>
        <v>82023.655755</v>
      </c>
      <c r="AP31" s="19" t="s">
        <v>548</v>
      </c>
      <c r="AQ31" s="19" t="s">
        <v>517</v>
      </c>
      <c r="AS31" s="30">
        <f t="shared" si="22"/>
        <v>-0.2</v>
      </c>
      <c r="AT31" s="30" t="str">
        <f t="shared" si="23"/>
        <v/>
      </c>
      <c r="AU31" s="91">
        <f t="shared" si="24"/>
        <v>1</v>
      </c>
    </row>
    <row r="32" spans="1:47">
      <c r="A32" s="1">
        <f t="shared" si="56"/>
        <v>28</v>
      </c>
      <c r="B32" s="10" t="s">
        <v>13</v>
      </c>
      <c r="C32" s="17">
        <f>C31</f>
        <v>43311</v>
      </c>
      <c r="D32" s="44">
        <f t="shared" si="8"/>
        <v>7</v>
      </c>
      <c r="E32" s="44">
        <f t="shared" si="9"/>
        <v>31</v>
      </c>
      <c r="F32" s="31" t="str">
        <f t="shared" si="76"/>
        <v>Mon</v>
      </c>
      <c r="G32" s="10" t="s">
        <v>543</v>
      </c>
      <c r="H32" s="10" t="s">
        <v>15</v>
      </c>
      <c r="I32" t="s">
        <v>427</v>
      </c>
      <c r="J32" s="10" t="s">
        <v>0</v>
      </c>
      <c r="K32" s="5" t="s">
        <v>478</v>
      </c>
      <c r="L32" s="7" t="s">
        <v>568</v>
      </c>
      <c r="M32" s="1">
        <v>600</v>
      </c>
      <c r="N32" s="7">
        <v>5</v>
      </c>
      <c r="O32" s="25">
        <f>IF(G32="EqCash",1,VLOOKUP($I32,fo_mktlots!$B$1:$C$1000,2,0))</f>
        <v>1</v>
      </c>
      <c r="P32" s="38">
        <f>ROUNDUP(VLOOKUP(K32,Levers!$A$5:$B$12,2,0)*Levers!$B$2,0)</f>
        <v>20000</v>
      </c>
      <c r="Q32" s="82">
        <f t="shared" si="77"/>
        <v>4000</v>
      </c>
      <c r="R32" s="5">
        <f t="shared" si="82"/>
        <v>4000</v>
      </c>
      <c r="S32" s="39">
        <f t="shared" si="78"/>
        <v>20000</v>
      </c>
      <c r="T32" s="35" t="str">
        <f t="shared" si="27"/>
        <v>Acceptable risk</v>
      </c>
      <c r="U32" s="1">
        <v>605</v>
      </c>
      <c r="V32" s="27">
        <f t="shared" si="60"/>
        <v>43312</v>
      </c>
      <c r="W32" s="26">
        <f t="shared" si="15"/>
        <v>5</v>
      </c>
      <c r="X32" s="12" t="str">
        <f t="shared" ref="X32:X33" si="83">IF(W32&lt;0,N32/3,"")</f>
        <v/>
      </c>
      <c r="Y32" s="12">
        <f t="shared" ref="Y32:Y33" si="84">IF(W32&gt;0,N32/2,"")</f>
        <v>2.5</v>
      </c>
      <c r="Z32" s="12">
        <f t="shared" ref="Z32:Z33" si="85">IF(W32&gt;0,W32*2.5,"")</f>
        <v>12.5</v>
      </c>
      <c r="AA32" s="7">
        <v>8</v>
      </c>
      <c r="AD32" s="9">
        <f t="shared" si="64"/>
        <v>20000</v>
      </c>
      <c r="AE32" s="29">
        <f t="shared" si="37"/>
        <v>4820000</v>
      </c>
      <c r="AF32" s="29">
        <f t="shared" si="38"/>
        <v>4820</v>
      </c>
      <c r="AG32" s="29">
        <f t="shared" si="39"/>
        <v>156.65</v>
      </c>
      <c r="AH32" s="29">
        <f t="shared" si="40"/>
        <v>40</v>
      </c>
      <c r="AI32" s="87">
        <f t="shared" si="41"/>
        <v>35.396999999999998</v>
      </c>
      <c r="AJ32" s="87">
        <f t="shared" si="42"/>
        <v>7.23</v>
      </c>
      <c r="AK32" s="29"/>
      <c r="AL32" s="29">
        <f t="shared" si="43"/>
        <v>482</v>
      </c>
      <c r="AM32" s="29">
        <f t="shared" si="44"/>
        <v>5541.2769999999991</v>
      </c>
      <c r="AN32" s="115">
        <f t="shared" si="65"/>
        <v>14458.723000000002</v>
      </c>
      <c r="AO32" s="90">
        <f t="shared" si="21"/>
        <v>96482.378754999998</v>
      </c>
      <c r="AP32" s="19" t="s">
        <v>517</v>
      </c>
      <c r="AQ32" s="19" t="s">
        <v>517</v>
      </c>
      <c r="AS32" s="30">
        <f t="shared" si="22"/>
        <v>1</v>
      </c>
      <c r="AT32" s="30">
        <f t="shared" si="23"/>
        <v>2.5</v>
      </c>
      <c r="AU32" s="91">
        <f t="shared" si="24"/>
        <v>0.4</v>
      </c>
    </row>
    <row r="33" spans="1:47">
      <c r="A33" s="1">
        <f t="shared" si="56"/>
        <v>29</v>
      </c>
      <c r="B33" s="10" t="s">
        <v>471</v>
      </c>
      <c r="C33" s="17">
        <f t="shared" si="36"/>
        <v>43312</v>
      </c>
      <c r="D33" s="44">
        <f t="shared" si="8"/>
        <v>7</v>
      </c>
      <c r="E33" s="44">
        <f t="shared" si="9"/>
        <v>31</v>
      </c>
      <c r="F33" s="31" t="str">
        <f t="shared" si="76"/>
        <v>Tue</v>
      </c>
      <c r="G33" s="10" t="s">
        <v>543</v>
      </c>
      <c r="H33" s="10" t="s">
        <v>15</v>
      </c>
      <c r="I33" t="s">
        <v>403</v>
      </c>
      <c r="J33" s="10" t="s">
        <v>0</v>
      </c>
      <c r="K33" s="5" t="s">
        <v>476</v>
      </c>
      <c r="L33" s="7" t="s">
        <v>568</v>
      </c>
      <c r="M33" s="1">
        <v>2600</v>
      </c>
      <c r="N33" s="7">
        <v>10</v>
      </c>
      <c r="O33" s="25">
        <f>IF(G33="EqCash",1,VLOOKUP($I33,fo_mktlots!$B$1:$C$1000,2,0))</f>
        <v>1</v>
      </c>
      <c r="P33" s="38">
        <f>ROUNDUP(VLOOKUP(K33,Levers!$A$5:$B$12,2,0)*Levers!$B$2,0)</f>
        <v>40000</v>
      </c>
      <c r="Q33" s="82">
        <f t="shared" si="77"/>
        <v>4000</v>
      </c>
      <c r="R33" s="5">
        <f t="shared" si="82"/>
        <v>4000</v>
      </c>
      <c r="S33" s="39">
        <f t="shared" si="78"/>
        <v>40000</v>
      </c>
      <c r="T33" s="35" t="str">
        <f t="shared" si="27"/>
        <v>Acceptable risk</v>
      </c>
      <c r="U33" s="1">
        <v>2626</v>
      </c>
      <c r="V33" s="27">
        <f t="shared" si="60"/>
        <v>43313</v>
      </c>
      <c r="W33" s="26">
        <f t="shared" si="15"/>
        <v>26</v>
      </c>
      <c r="X33" s="12" t="str">
        <f t="shared" si="83"/>
        <v/>
      </c>
      <c r="Y33" s="12">
        <f t="shared" si="84"/>
        <v>5</v>
      </c>
      <c r="Z33" s="12">
        <f t="shared" si="85"/>
        <v>65</v>
      </c>
      <c r="AA33" s="7">
        <v>9</v>
      </c>
      <c r="AD33" s="9">
        <f t="shared" si="64"/>
        <v>104000</v>
      </c>
      <c r="AE33" s="29">
        <f t="shared" si="37"/>
        <v>20904000</v>
      </c>
      <c r="AF33" s="29">
        <f t="shared" si="38"/>
        <v>20904</v>
      </c>
      <c r="AG33" s="29">
        <f t="shared" si="39"/>
        <v>679.38</v>
      </c>
      <c r="AH33" s="29">
        <f t="shared" si="40"/>
        <v>40</v>
      </c>
      <c r="AI33" s="87">
        <f t="shared" si="41"/>
        <v>129.48839999999998</v>
      </c>
      <c r="AJ33" s="87">
        <f t="shared" si="42"/>
        <v>31.356000000000002</v>
      </c>
      <c r="AK33" s="29"/>
      <c r="AL33" s="29">
        <f t="shared" si="43"/>
        <v>2090.4</v>
      </c>
      <c r="AM33" s="29">
        <f t="shared" si="44"/>
        <v>23874.624400000001</v>
      </c>
      <c r="AN33" s="115">
        <f t="shared" si="65"/>
        <v>80125.375599999999</v>
      </c>
      <c r="AO33" s="90">
        <f t="shared" si="21"/>
        <v>176607.75435499998</v>
      </c>
      <c r="AP33" s="19" t="s">
        <v>517</v>
      </c>
      <c r="AQ33" s="19" t="s">
        <v>517</v>
      </c>
      <c r="AS33" s="30">
        <f t="shared" si="22"/>
        <v>2.6</v>
      </c>
      <c r="AT33" s="30">
        <f t="shared" si="23"/>
        <v>6.5</v>
      </c>
      <c r="AU33" s="91">
        <f t="shared" si="24"/>
        <v>0.4</v>
      </c>
    </row>
    <row r="34" spans="1:47">
      <c r="A34" s="1">
        <f t="shared" si="56"/>
        <v>30</v>
      </c>
      <c r="B34" s="10" t="s">
        <v>13</v>
      </c>
      <c r="C34" s="17">
        <f t="shared" si="36"/>
        <v>43313</v>
      </c>
      <c r="D34" s="44">
        <f t="shared" si="8"/>
        <v>8</v>
      </c>
      <c r="E34" s="44">
        <f t="shared" si="9"/>
        <v>31</v>
      </c>
      <c r="F34" s="31" t="str">
        <f t="shared" si="76"/>
        <v>Wed</v>
      </c>
      <c r="G34" s="10" t="s">
        <v>543</v>
      </c>
      <c r="H34" s="10" t="s">
        <v>15</v>
      </c>
      <c r="I34" t="s">
        <v>403</v>
      </c>
      <c r="J34" s="10" t="s">
        <v>0</v>
      </c>
      <c r="K34" s="5" t="s">
        <v>477</v>
      </c>
      <c r="L34" s="7" t="s">
        <v>568</v>
      </c>
      <c r="M34" s="1">
        <v>2600</v>
      </c>
      <c r="N34" s="7">
        <v>10</v>
      </c>
      <c r="O34" s="25">
        <f>IF(G34="EqCash",1,VLOOKUP($I34,fo_mktlots!$B$1:$C$1000,2,0))</f>
        <v>1</v>
      </c>
      <c r="P34" s="38">
        <f>ROUNDUP(VLOOKUP(K34,Levers!$A$5:$B$12,2,0)*Levers!$B$2,0)</f>
        <v>10000</v>
      </c>
      <c r="Q34" s="82">
        <f t="shared" si="77"/>
        <v>1000</v>
      </c>
      <c r="R34" s="5">
        <f t="shared" si="82"/>
        <v>1000</v>
      </c>
      <c r="S34" s="39">
        <f t="shared" si="78"/>
        <v>10000</v>
      </c>
      <c r="T34" s="35" t="str">
        <f t="shared" si="27"/>
        <v>Acceptable risk</v>
      </c>
      <c r="U34" s="1">
        <v>2570</v>
      </c>
      <c r="V34" s="27">
        <f t="shared" si="60"/>
        <v>43313</v>
      </c>
      <c r="W34" s="26">
        <f t="shared" si="15"/>
        <v>-30</v>
      </c>
      <c r="X34" s="12">
        <f>IF(W34&lt;0,N34/2,"")</f>
        <v>5</v>
      </c>
      <c r="Y34" s="12" t="str">
        <f>IF(W34&gt;0,N34/3,"")</f>
        <v/>
      </c>
      <c r="Z34" s="12" t="str">
        <f>IF(W34&gt;0,W34*2,"")</f>
        <v/>
      </c>
      <c r="AA34" s="1">
        <v>5</v>
      </c>
      <c r="AD34" s="9">
        <f t="shared" si="64"/>
        <v>-30000</v>
      </c>
      <c r="AE34" s="29">
        <f t="shared" si="37"/>
        <v>5170000</v>
      </c>
      <c r="AF34" s="29">
        <f t="shared" si="38"/>
        <v>5170</v>
      </c>
      <c r="AG34" s="29">
        <f t="shared" si="39"/>
        <v>168.02500000000001</v>
      </c>
      <c r="AH34" s="29">
        <f t="shared" si="40"/>
        <v>40</v>
      </c>
      <c r="AI34" s="87">
        <f t="shared" si="41"/>
        <v>37.444499999999998</v>
      </c>
      <c r="AJ34" s="87">
        <f t="shared" si="42"/>
        <v>7.7549999999999999</v>
      </c>
      <c r="AK34" s="29"/>
      <c r="AL34" s="29">
        <f t="shared" si="43"/>
        <v>517</v>
      </c>
      <c r="AM34" s="29">
        <f t="shared" si="44"/>
        <v>5940.2244999999994</v>
      </c>
      <c r="AN34" s="115">
        <f t="shared" si="65"/>
        <v>-35940.224499999997</v>
      </c>
      <c r="AO34" s="90">
        <f t="shared" si="21"/>
        <v>140667.52985499997</v>
      </c>
      <c r="AP34" s="19" t="s">
        <v>527</v>
      </c>
      <c r="AQ34" s="19" t="s">
        <v>517</v>
      </c>
      <c r="AS34" s="30">
        <f t="shared" si="22"/>
        <v>-3</v>
      </c>
      <c r="AT34" s="30" t="str">
        <f t="shared" si="23"/>
        <v/>
      </c>
      <c r="AU34" s="91">
        <f t="shared" si="24"/>
        <v>1</v>
      </c>
    </row>
    <row r="35" spans="1:47">
      <c r="A35" s="1">
        <f t="shared" si="56"/>
        <v>31</v>
      </c>
      <c r="B35" s="10" t="s">
        <v>471</v>
      </c>
      <c r="C35" s="17">
        <f>C34</f>
        <v>43313</v>
      </c>
      <c r="D35" s="44">
        <f t="shared" si="8"/>
        <v>8</v>
      </c>
      <c r="E35" s="44">
        <f t="shared" si="9"/>
        <v>31</v>
      </c>
      <c r="F35" s="31" t="str">
        <f t="shared" si="76"/>
        <v>Wed</v>
      </c>
      <c r="G35" s="10" t="s">
        <v>543</v>
      </c>
      <c r="H35" s="10" t="s">
        <v>15</v>
      </c>
      <c r="I35" t="s">
        <v>427</v>
      </c>
      <c r="J35" s="10" t="s">
        <v>0</v>
      </c>
      <c r="K35" s="5" t="s">
        <v>476</v>
      </c>
      <c r="L35" s="7" t="s">
        <v>568</v>
      </c>
      <c r="M35" s="1">
        <v>600</v>
      </c>
      <c r="N35" s="7">
        <v>5</v>
      </c>
      <c r="O35" s="25">
        <f>IF(G35="EqCash",1,VLOOKUP($I35,fo_mktlots!$B$1:$C$1000,2,0))</f>
        <v>1</v>
      </c>
      <c r="P35" s="38">
        <f>ROUNDUP(VLOOKUP(K35,Levers!$A$5:$B$12,2,0)*Levers!$B$2,0)</f>
        <v>40000</v>
      </c>
      <c r="Q35" s="82">
        <f t="shared" si="77"/>
        <v>8000</v>
      </c>
      <c r="R35" s="5">
        <f t="shared" si="82"/>
        <v>8000</v>
      </c>
      <c r="S35" s="39">
        <f t="shared" si="78"/>
        <v>40000</v>
      </c>
      <c r="T35" s="35" t="str">
        <f t="shared" si="27"/>
        <v>Acceptable risk</v>
      </c>
      <c r="U35" s="1">
        <v>609</v>
      </c>
      <c r="V35" s="27">
        <f t="shared" si="60"/>
        <v>43314</v>
      </c>
      <c r="W35" s="26">
        <f t="shared" si="15"/>
        <v>9</v>
      </c>
      <c r="X35" s="12" t="str">
        <f t="shared" ref="X35:X36" si="86">IF(W35&lt;0,N35/2,"")</f>
        <v/>
      </c>
      <c r="Y35" s="12">
        <f t="shared" ref="Y35:Y36" si="87">IF(W35&gt;0,N35/3,"")</f>
        <v>1.6666666666666667</v>
      </c>
      <c r="Z35" s="12">
        <f t="shared" ref="Z35:Z36" si="88">IF(W35&gt;0,W35*2,"")</f>
        <v>18</v>
      </c>
      <c r="AA35" s="1">
        <v>6</v>
      </c>
      <c r="AD35" s="9">
        <f t="shared" si="64"/>
        <v>72000</v>
      </c>
      <c r="AE35" s="29">
        <f t="shared" si="37"/>
        <v>9672000</v>
      </c>
      <c r="AF35" s="29">
        <f t="shared" si="38"/>
        <v>9672</v>
      </c>
      <c r="AG35" s="29">
        <f t="shared" si="39"/>
        <v>314.33999999999997</v>
      </c>
      <c r="AH35" s="29">
        <f t="shared" si="40"/>
        <v>40</v>
      </c>
      <c r="AI35" s="87">
        <f t="shared" si="41"/>
        <v>63.781199999999991</v>
      </c>
      <c r="AJ35" s="87">
        <f t="shared" si="42"/>
        <v>14.507999999999999</v>
      </c>
      <c r="AK35" s="29"/>
      <c r="AL35" s="29">
        <f t="shared" si="43"/>
        <v>967.2</v>
      </c>
      <c r="AM35" s="29">
        <f t="shared" si="44"/>
        <v>11071.8292</v>
      </c>
      <c r="AN35" s="115">
        <f t="shared" si="65"/>
        <v>60928.1708</v>
      </c>
      <c r="AO35" s="90">
        <f t="shared" si="21"/>
        <v>201595.70065499996</v>
      </c>
      <c r="AP35" s="19" t="s">
        <v>517</v>
      </c>
      <c r="AQ35" s="19" t="s">
        <v>517</v>
      </c>
      <c r="AS35" s="30">
        <f t="shared" si="22"/>
        <v>1.8</v>
      </c>
      <c r="AT35" s="30">
        <f t="shared" si="23"/>
        <v>3.6</v>
      </c>
      <c r="AU35" s="91">
        <f t="shared" si="24"/>
        <v>0.5</v>
      </c>
    </row>
    <row r="36" spans="1:47">
      <c r="A36" s="1">
        <f t="shared" si="56"/>
        <v>32</v>
      </c>
      <c r="B36" s="10" t="s">
        <v>13</v>
      </c>
      <c r="C36" s="17">
        <f>C35+1</f>
        <v>43314</v>
      </c>
      <c r="D36" s="44">
        <f t="shared" si="8"/>
        <v>8</v>
      </c>
      <c r="E36" s="44">
        <f t="shared" si="9"/>
        <v>31</v>
      </c>
      <c r="F36" s="31" t="str">
        <f t="shared" si="76"/>
        <v>Thu</v>
      </c>
      <c r="G36" s="10" t="s">
        <v>542</v>
      </c>
      <c r="H36" s="10" t="s">
        <v>12</v>
      </c>
      <c r="I36" t="s">
        <v>464</v>
      </c>
      <c r="J36" s="10" t="s">
        <v>11</v>
      </c>
      <c r="K36" s="5" t="s">
        <v>477</v>
      </c>
      <c r="L36" s="5">
        <v>15</v>
      </c>
      <c r="M36" s="1">
        <v>27000</v>
      </c>
      <c r="N36" s="7">
        <v>40</v>
      </c>
      <c r="O36" s="25">
        <f>IF(G36="EqCash",1,VLOOKUP($I36,fo_mktlots!$B$1:$C$1000,2,0))</f>
        <v>40</v>
      </c>
      <c r="P36" s="38">
        <f>ROUNDUP(VLOOKUP(K36,Levers!$A$5:$B$12,2,0)*Levers!$B$2,0)</f>
        <v>10000</v>
      </c>
      <c r="Q36" s="82">
        <f t="shared" si="77"/>
        <v>6</v>
      </c>
      <c r="R36" s="5">
        <f t="shared" si="82"/>
        <v>6</v>
      </c>
      <c r="S36" s="39">
        <f t="shared" si="78"/>
        <v>9600</v>
      </c>
      <c r="T36" s="35" t="str">
        <f t="shared" si="27"/>
        <v>Acceptable risk</v>
      </c>
      <c r="U36" s="1">
        <v>26940</v>
      </c>
      <c r="V36" s="27">
        <f t="shared" si="60"/>
        <v>43314</v>
      </c>
      <c r="W36" s="26">
        <f t="shared" si="15"/>
        <v>60</v>
      </c>
      <c r="X36" s="12" t="str">
        <f t="shared" si="86"/>
        <v/>
      </c>
      <c r="Y36" s="12">
        <f t="shared" si="87"/>
        <v>13.333333333333334</v>
      </c>
      <c r="Z36" s="12">
        <f t="shared" si="88"/>
        <v>120</v>
      </c>
      <c r="AA36" s="1">
        <v>7</v>
      </c>
      <c r="AD36" s="9">
        <f t="shared" si="64"/>
        <v>14400</v>
      </c>
      <c r="AE36" s="29">
        <f t="shared" si="37"/>
        <v>9600</v>
      </c>
      <c r="AF36" s="29">
        <f t="shared" si="38"/>
        <v>3240</v>
      </c>
      <c r="AG36" s="29">
        <f t="shared" si="39"/>
        <v>5.0880000000000001</v>
      </c>
      <c r="AH36" s="29">
        <f t="shared" si="40"/>
        <v>40</v>
      </c>
      <c r="AI36" s="87">
        <f t="shared" si="41"/>
        <v>8.1158400000000004</v>
      </c>
      <c r="AJ36" s="87">
        <f t="shared" si="42"/>
        <v>1.44E-2</v>
      </c>
      <c r="AK36" s="29"/>
      <c r="AL36" s="29">
        <f t="shared" si="43"/>
        <v>0.192</v>
      </c>
      <c r="AM36" s="29">
        <f t="shared" si="44"/>
        <v>3293.4102400000002</v>
      </c>
      <c r="AN36" s="115">
        <f t="shared" si="65"/>
        <v>11106.589759999999</v>
      </c>
      <c r="AO36" s="90">
        <f t="shared" si="21"/>
        <v>212702.29041499997</v>
      </c>
      <c r="AP36" s="19" t="s">
        <v>517</v>
      </c>
      <c r="AQ36" s="19" t="s">
        <v>524</v>
      </c>
      <c r="AS36" s="30">
        <f t="shared" si="22"/>
        <v>1.5</v>
      </c>
      <c r="AT36" s="30">
        <f t="shared" si="23"/>
        <v>3</v>
      </c>
      <c r="AU36" s="91">
        <f t="shared" si="24"/>
        <v>0.5</v>
      </c>
    </row>
    <row r="37" spans="1:47">
      <c r="A37" s="1">
        <f t="shared" si="56"/>
        <v>33</v>
      </c>
      <c r="B37" s="10" t="s">
        <v>471</v>
      </c>
      <c r="C37" s="17">
        <f>C36+1</f>
        <v>43315</v>
      </c>
      <c r="D37" s="44">
        <f t="shared" si="8"/>
        <v>8</v>
      </c>
      <c r="E37" s="44">
        <f t="shared" si="9"/>
        <v>31</v>
      </c>
      <c r="F37" s="31" t="str">
        <f t="shared" si="76"/>
        <v>Fri</v>
      </c>
      <c r="G37" s="10" t="s">
        <v>542</v>
      </c>
      <c r="H37" s="10" t="s">
        <v>12</v>
      </c>
      <c r="I37" t="s">
        <v>403</v>
      </c>
      <c r="J37" s="10" t="s">
        <v>11</v>
      </c>
      <c r="K37" s="5" t="s">
        <v>478</v>
      </c>
      <c r="L37" s="5">
        <v>5</v>
      </c>
      <c r="M37" s="1">
        <v>2600</v>
      </c>
      <c r="N37" s="7">
        <v>10</v>
      </c>
      <c r="O37" s="25">
        <f>IF(G37="EqCash",1,VLOOKUP($I37,fo_mktlots!$B$1:$C$1000,2,0))</f>
        <v>250</v>
      </c>
      <c r="P37" s="38">
        <f>ROUNDUP(VLOOKUP(K37,Levers!$A$5:$B$12,2,0)*Levers!$B$2,0)</f>
        <v>20000</v>
      </c>
      <c r="Q37" s="82">
        <f t="shared" si="77"/>
        <v>8</v>
      </c>
      <c r="R37" s="5">
        <f t="shared" si="82"/>
        <v>8</v>
      </c>
      <c r="S37" s="39">
        <f t="shared" si="78"/>
        <v>20000</v>
      </c>
      <c r="T37" s="35" t="str">
        <f t="shared" si="27"/>
        <v>Acceptable risk</v>
      </c>
      <c r="U37" s="1">
        <f>M37-15</f>
        <v>2585</v>
      </c>
      <c r="V37" s="27">
        <f t="shared" si="60"/>
        <v>43315</v>
      </c>
      <c r="W37" s="26">
        <f t="shared" si="15"/>
        <v>15</v>
      </c>
      <c r="X37" s="12" t="str">
        <f>IF(W37&lt;0,N37/3,"")</f>
        <v/>
      </c>
      <c r="Y37" s="12">
        <f>IF(W37&gt;0,N37/2,"")</f>
        <v>5</v>
      </c>
      <c r="Z37" s="12">
        <f>IF(W37&gt;0,W37*2.5,"")</f>
        <v>37.5</v>
      </c>
      <c r="AA37" s="7">
        <v>8</v>
      </c>
      <c r="AD37" s="9">
        <f t="shared" si="64"/>
        <v>30000</v>
      </c>
      <c r="AE37" s="29">
        <f t="shared" si="37"/>
        <v>170000</v>
      </c>
      <c r="AF37" s="29">
        <f t="shared" si="38"/>
        <v>2600</v>
      </c>
      <c r="AG37" s="29">
        <f t="shared" si="39"/>
        <v>90.1</v>
      </c>
      <c r="AH37" s="29">
        <f t="shared" si="40"/>
        <v>40</v>
      </c>
      <c r="AI37" s="87">
        <f t="shared" si="41"/>
        <v>23.417999999999999</v>
      </c>
      <c r="AJ37" s="87">
        <f t="shared" si="42"/>
        <v>0.255</v>
      </c>
      <c r="AK37" s="29"/>
      <c r="AL37" s="29">
        <f t="shared" si="43"/>
        <v>3.4000000000000004</v>
      </c>
      <c r="AM37" s="29">
        <f t="shared" si="44"/>
        <v>2757.1730000000002</v>
      </c>
      <c r="AN37" s="115">
        <f t="shared" si="65"/>
        <v>27242.827000000001</v>
      </c>
      <c r="AO37" s="90">
        <f t="shared" ref="AO37:AO54" si="89">AO36+AN37</f>
        <v>239945.11741499996</v>
      </c>
      <c r="AP37" s="19" t="s">
        <v>519</v>
      </c>
      <c r="AQ37" s="19" t="s">
        <v>517</v>
      </c>
      <c r="AS37" s="30">
        <f t="shared" ref="AS37:AS54" si="90">IFERROR(W37/N37,"")</f>
        <v>1.5</v>
      </c>
      <c r="AT37" s="30">
        <f t="shared" ref="AT37:AT54" si="91">IFERROR(Z37/N37,"")</f>
        <v>3.75</v>
      </c>
      <c r="AU37" s="91">
        <f t="shared" si="24"/>
        <v>0.4</v>
      </c>
    </row>
    <row r="38" spans="1:47">
      <c r="A38" s="1">
        <f t="shared" si="56"/>
        <v>34</v>
      </c>
      <c r="B38" s="10" t="s">
        <v>13</v>
      </c>
      <c r="C38" s="17">
        <f>C37</f>
        <v>43315</v>
      </c>
      <c r="D38" s="44">
        <f t="shared" si="8"/>
        <v>8</v>
      </c>
      <c r="E38" s="44">
        <f t="shared" si="9"/>
        <v>31</v>
      </c>
      <c r="F38" s="31" t="str">
        <f t="shared" si="76"/>
        <v>Fri</v>
      </c>
      <c r="G38" s="10" t="s">
        <v>542</v>
      </c>
      <c r="H38" s="10" t="s">
        <v>12</v>
      </c>
      <c r="I38" t="s">
        <v>26</v>
      </c>
      <c r="J38" s="10" t="s">
        <v>11</v>
      </c>
      <c r="K38" s="5" t="s">
        <v>476</v>
      </c>
      <c r="L38" s="5">
        <v>60</v>
      </c>
      <c r="M38" s="1">
        <v>11000</v>
      </c>
      <c r="N38" s="7">
        <v>30</v>
      </c>
      <c r="O38" s="25">
        <f>IF(G38="EqCash",1,VLOOKUP($I38,fo_mktlots!$B$1:$C$1000,2,0))</f>
        <v>75</v>
      </c>
      <c r="P38" s="38">
        <f>ROUNDUP(VLOOKUP(K38,Levers!$A$5:$B$12,2,0)*Levers!$B$2,0)</f>
        <v>40000</v>
      </c>
      <c r="Q38" s="82">
        <f t="shared" si="77"/>
        <v>17</v>
      </c>
      <c r="R38" s="5">
        <f>Q38+5</f>
        <v>22</v>
      </c>
      <c r="S38" s="39">
        <f t="shared" si="78"/>
        <v>49500</v>
      </c>
      <c r="T38" s="35" t="str">
        <f t="shared" si="27"/>
        <v>I'm taking higher risk</v>
      </c>
      <c r="U38" s="1">
        <v>11030</v>
      </c>
      <c r="V38" s="27">
        <f t="shared" si="60"/>
        <v>43315</v>
      </c>
      <c r="W38" s="26">
        <f t="shared" si="15"/>
        <v>-30</v>
      </c>
      <c r="X38" s="12">
        <f t="shared" ref="X38:X39" si="92">IF(W38&lt;0,N38/3,"")</f>
        <v>10</v>
      </c>
      <c r="Y38" s="12" t="str">
        <f t="shared" ref="Y38:Y39" si="93">IF(W38&gt;0,N38/2,"")</f>
        <v/>
      </c>
      <c r="Z38" s="12" t="str">
        <f t="shared" ref="Z38:Z39" si="94">IF(W38&gt;0,W38*2.5,"")</f>
        <v/>
      </c>
      <c r="AA38" s="7">
        <v>9</v>
      </c>
      <c r="AD38" s="9">
        <f t="shared" si="64"/>
        <v>-38250</v>
      </c>
      <c r="AE38" s="29">
        <f t="shared" si="37"/>
        <v>214500</v>
      </c>
      <c r="AF38" s="29">
        <f t="shared" si="38"/>
        <v>9075</v>
      </c>
      <c r="AG38" s="29">
        <f t="shared" si="39"/>
        <v>113.685</v>
      </c>
      <c r="AH38" s="29">
        <f t="shared" si="40"/>
        <v>40</v>
      </c>
      <c r="AI38" s="87">
        <f t="shared" si="41"/>
        <v>27.6633</v>
      </c>
      <c r="AJ38" s="87">
        <f t="shared" si="42"/>
        <v>0.32174999999999998</v>
      </c>
      <c r="AK38" s="29"/>
      <c r="AL38" s="29">
        <f t="shared" si="43"/>
        <v>4.29</v>
      </c>
      <c r="AM38" s="29">
        <f t="shared" si="44"/>
        <v>9260.9600499999997</v>
      </c>
      <c r="AN38" s="115">
        <f t="shared" si="65"/>
        <v>-47510.960050000002</v>
      </c>
      <c r="AO38" s="90">
        <f t="shared" si="89"/>
        <v>192434.15736499996</v>
      </c>
      <c r="AP38" s="19" t="s">
        <v>548</v>
      </c>
      <c r="AQ38" s="19" t="s">
        <v>517</v>
      </c>
      <c r="AS38" s="30">
        <f t="shared" si="90"/>
        <v>-1</v>
      </c>
      <c r="AT38" s="30" t="str">
        <f t="shared" si="91"/>
        <v/>
      </c>
      <c r="AU38" s="91">
        <f t="shared" si="24"/>
        <v>1</v>
      </c>
    </row>
    <row r="39" spans="1:47">
      <c r="A39" s="1">
        <f t="shared" si="56"/>
        <v>35</v>
      </c>
      <c r="B39" s="10" t="s">
        <v>471</v>
      </c>
      <c r="C39" s="17">
        <f>C38+3</f>
        <v>43318</v>
      </c>
      <c r="D39" s="44">
        <f t="shared" si="8"/>
        <v>8</v>
      </c>
      <c r="E39" s="44">
        <f t="shared" si="9"/>
        <v>32</v>
      </c>
      <c r="F39" s="31" t="str">
        <f t="shared" si="76"/>
        <v>Mon</v>
      </c>
      <c r="G39" s="10" t="s">
        <v>542</v>
      </c>
      <c r="H39" s="10" t="s">
        <v>12</v>
      </c>
      <c r="I39" t="s">
        <v>464</v>
      </c>
      <c r="J39" s="10" t="s">
        <v>0</v>
      </c>
      <c r="K39" s="5" t="s">
        <v>477</v>
      </c>
      <c r="L39" s="7">
        <v>5</v>
      </c>
      <c r="M39" s="1">
        <v>27000</v>
      </c>
      <c r="N39" s="7">
        <v>40</v>
      </c>
      <c r="O39" s="25">
        <f>IF(G39="EqCash",1,VLOOKUP($I39,fo_mktlots!$B$1:$C$1000,2,0))</f>
        <v>40</v>
      </c>
      <c r="P39" s="38">
        <f>ROUNDUP(VLOOKUP(K39,Levers!$A$5:$B$12,2,0)*Levers!$B$2,0)</f>
        <v>10000</v>
      </c>
      <c r="Q39" s="82">
        <f t="shared" si="77"/>
        <v>6</v>
      </c>
      <c r="R39" s="5">
        <f>Q39+3</f>
        <v>9</v>
      </c>
      <c r="S39" s="39">
        <f t="shared" si="78"/>
        <v>14400</v>
      </c>
      <c r="T39" s="35" t="str">
        <f t="shared" si="27"/>
        <v>I'm taking higher risk</v>
      </c>
      <c r="U39" s="1">
        <v>26950</v>
      </c>
      <c r="V39" s="27">
        <f t="shared" si="60"/>
        <v>43318</v>
      </c>
      <c r="W39" s="26">
        <f t="shared" si="15"/>
        <v>-50</v>
      </c>
      <c r="X39" s="12">
        <f t="shared" si="92"/>
        <v>13.333333333333334</v>
      </c>
      <c r="Y39" s="12" t="str">
        <f t="shared" si="93"/>
        <v/>
      </c>
      <c r="Z39" s="12" t="str">
        <f t="shared" si="94"/>
        <v/>
      </c>
      <c r="AA39" s="1">
        <v>5</v>
      </c>
      <c r="AD39" s="9">
        <f t="shared" si="64"/>
        <v>-12000</v>
      </c>
      <c r="AE39" s="29">
        <f t="shared" si="37"/>
        <v>18000</v>
      </c>
      <c r="AF39" s="29">
        <f t="shared" si="38"/>
        <v>4851</v>
      </c>
      <c r="AG39" s="29">
        <f t="shared" si="39"/>
        <v>9.5399999999999991</v>
      </c>
      <c r="AH39" s="29">
        <f t="shared" si="40"/>
        <v>40</v>
      </c>
      <c r="AI39" s="87">
        <f t="shared" si="41"/>
        <v>8.9171999999999993</v>
      </c>
      <c r="AJ39" s="87">
        <f t="shared" si="42"/>
        <v>2.7E-2</v>
      </c>
      <c r="AK39" s="29"/>
      <c r="AL39" s="29">
        <f t="shared" si="43"/>
        <v>0.36000000000000004</v>
      </c>
      <c r="AM39" s="29">
        <f t="shared" si="44"/>
        <v>4909.8441999999995</v>
      </c>
      <c r="AN39" s="115">
        <f t="shared" si="65"/>
        <v>-16909.8442</v>
      </c>
      <c r="AO39" s="90">
        <f t="shared" si="89"/>
        <v>175524.31316499997</v>
      </c>
      <c r="AP39" s="19" t="s">
        <v>548</v>
      </c>
      <c r="AQ39" s="19" t="s">
        <v>517</v>
      </c>
      <c r="AS39" s="30">
        <f t="shared" si="90"/>
        <v>-1.25</v>
      </c>
      <c r="AT39" s="30" t="str">
        <f t="shared" si="91"/>
        <v/>
      </c>
      <c r="AU39" s="91">
        <f t="shared" si="24"/>
        <v>1</v>
      </c>
    </row>
    <row r="40" spans="1:47">
      <c r="A40" s="1">
        <f t="shared" si="56"/>
        <v>36</v>
      </c>
      <c r="B40" s="10" t="s">
        <v>13</v>
      </c>
      <c r="C40" s="17">
        <f>C39</f>
        <v>43318</v>
      </c>
      <c r="D40" s="44">
        <f t="shared" si="8"/>
        <v>8</v>
      </c>
      <c r="E40" s="44">
        <f t="shared" si="9"/>
        <v>32</v>
      </c>
      <c r="F40" s="31" t="str">
        <f>TEXT(C40,"ddd")</f>
        <v>Mon</v>
      </c>
      <c r="G40" s="10" t="s">
        <v>542</v>
      </c>
      <c r="H40" s="10" t="s">
        <v>12</v>
      </c>
      <c r="I40" t="s">
        <v>464</v>
      </c>
      <c r="J40" s="10" t="s">
        <v>0</v>
      </c>
      <c r="K40" s="5" t="s">
        <v>477</v>
      </c>
      <c r="L40" s="7">
        <v>5</v>
      </c>
      <c r="M40" s="1">
        <v>27000</v>
      </c>
      <c r="N40" s="7">
        <v>40</v>
      </c>
      <c r="O40" s="25">
        <f>IF(G40="EqCash",1,VLOOKUP($I40,fo_mktlots!$B$1:$C$1000,2,0))</f>
        <v>40</v>
      </c>
      <c r="P40" s="38">
        <f>ROUNDUP(VLOOKUP(K40,Levers!$A$5:$B$12,2,0)*Levers!$B$2,0)</f>
        <v>10000</v>
      </c>
      <c r="Q40" s="82">
        <f t="shared" si="77"/>
        <v>6</v>
      </c>
      <c r="R40" s="5">
        <f>Q40+3</f>
        <v>9</v>
      </c>
      <c r="S40" s="39">
        <f t="shared" si="78"/>
        <v>14400</v>
      </c>
      <c r="T40" s="35" t="str">
        <f t="shared" si="27"/>
        <v>I'm taking higher risk</v>
      </c>
      <c r="U40" s="1">
        <v>27050</v>
      </c>
      <c r="V40" s="27">
        <f t="shared" si="60"/>
        <v>43318</v>
      </c>
      <c r="W40" s="26">
        <f t="shared" si="15"/>
        <v>50</v>
      </c>
      <c r="X40" s="12" t="str">
        <f>IF(W40&lt;0,N40/2,"")</f>
        <v/>
      </c>
      <c r="Y40" s="12">
        <f>IF(W40&gt;0,N40/3,"")</f>
        <v>13.333333333333334</v>
      </c>
      <c r="Z40" s="12">
        <f>IF(W40&gt;0,W40*2,"")</f>
        <v>100</v>
      </c>
      <c r="AA40" s="1">
        <v>6</v>
      </c>
      <c r="AD40" s="9">
        <f t="shared" si="64"/>
        <v>12000</v>
      </c>
      <c r="AE40" s="29">
        <f t="shared" si="37"/>
        <v>54000</v>
      </c>
      <c r="AF40" s="29">
        <f t="shared" si="38"/>
        <v>4869</v>
      </c>
      <c r="AG40" s="29">
        <f t="shared" si="39"/>
        <v>28.62</v>
      </c>
      <c r="AH40" s="29">
        <f t="shared" si="40"/>
        <v>40</v>
      </c>
      <c r="AI40" s="87">
        <f t="shared" si="41"/>
        <v>12.351600000000001</v>
      </c>
      <c r="AJ40" s="87">
        <f t="shared" si="42"/>
        <v>8.1000000000000003E-2</v>
      </c>
      <c r="AK40" s="29"/>
      <c r="AL40" s="29">
        <f t="shared" si="43"/>
        <v>1.08</v>
      </c>
      <c r="AM40" s="29">
        <f t="shared" si="44"/>
        <v>4951.1325999999999</v>
      </c>
      <c r="AN40" s="115">
        <f t="shared" si="65"/>
        <v>7048.8674000000001</v>
      </c>
      <c r="AO40" s="90">
        <f t="shared" si="89"/>
        <v>182573.18056499996</v>
      </c>
      <c r="AP40" s="19" t="s">
        <v>519</v>
      </c>
      <c r="AQ40" s="19" t="s">
        <v>524</v>
      </c>
      <c r="AS40" s="30">
        <f t="shared" si="90"/>
        <v>1.25</v>
      </c>
      <c r="AT40" s="30">
        <f t="shared" si="91"/>
        <v>2.5</v>
      </c>
      <c r="AU40" s="91">
        <f t="shared" si="24"/>
        <v>0.5</v>
      </c>
    </row>
    <row r="41" spans="1:47">
      <c r="A41" s="1">
        <f t="shared" si="56"/>
        <v>37</v>
      </c>
      <c r="B41" s="10" t="s">
        <v>471</v>
      </c>
      <c r="C41" s="17">
        <f t="shared" si="36"/>
        <v>43319</v>
      </c>
      <c r="D41" s="44">
        <f t="shared" si="8"/>
        <v>8</v>
      </c>
      <c r="E41" s="44">
        <f t="shared" si="9"/>
        <v>32</v>
      </c>
      <c r="F41" s="31" t="str">
        <f t="shared" ref="F41:F51" si="95">TEXT(C41,"ddd")</f>
        <v>Tue</v>
      </c>
      <c r="G41" s="10" t="s">
        <v>541</v>
      </c>
      <c r="H41" s="10" t="s">
        <v>12</v>
      </c>
      <c r="I41" t="s">
        <v>26</v>
      </c>
      <c r="J41" s="10" t="s">
        <v>0</v>
      </c>
      <c r="K41" s="5" t="s">
        <v>476</v>
      </c>
      <c r="L41" s="5">
        <v>5</v>
      </c>
      <c r="M41" s="1">
        <v>11000</v>
      </c>
      <c r="N41" s="7">
        <v>30</v>
      </c>
      <c r="O41" s="25">
        <f>IF(G41="EqCash",1,VLOOKUP($I41,fo_mktlots!$B$1:$C$1000,2,0))</f>
        <v>75</v>
      </c>
      <c r="P41" s="38">
        <f>ROUNDUP(VLOOKUP(K41,Levers!$A$5:$B$12,2,0)*Levers!$B$2,0)</f>
        <v>40000</v>
      </c>
      <c r="Q41" s="82">
        <f t="shared" ref="Q41:Q51" si="96">ROUNDDOWN(P41/(O41*N41),0)</f>
        <v>17</v>
      </c>
      <c r="R41" s="5">
        <f>Q41-10</f>
        <v>7</v>
      </c>
      <c r="S41" s="39">
        <f t="shared" ref="S41:S51" si="97">R41*O41*(N41)</f>
        <v>15750</v>
      </c>
      <c r="T41" s="35" t="str">
        <f t="shared" si="27"/>
        <v>I'm taking too Low risk</v>
      </c>
      <c r="U41" s="1">
        <f>M41+10</f>
        <v>11010</v>
      </c>
      <c r="V41" s="27">
        <f t="shared" si="60"/>
        <v>43319</v>
      </c>
      <c r="W41" s="26">
        <f t="shared" si="15"/>
        <v>10</v>
      </c>
      <c r="X41" s="12" t="str">
        <f t="shared" ref="X41:X42" si="98">IF(W41&lt;0,N41/2,"")</f>
        <v/>
      </c>
      <c r="Y41" s="12">
        <f t="shared" ref="Y41:Y42" si="99">IF(W41&gt;0,N41/3,"")</f>
        <v>10</v>
      </c>
      <c r="Z41" s="12">
        <f t="shared" ref="Z41:Z42" si="100">IF(W41&gt;0,W41*2,"")</f>
        <v>20</v>
      </c>
      <c r="AA41" s="1">
        <v>7</v>
      </c>
      <c r="AD41" s="9">
        <f t="shared" si="64"/>
        <v>12750</v>
      </c>
      <c r="AE41" s="29">
        <f t="shared" si="37"/>
        <v>11555250</v>
      </c>
      <c r="AF41" s="29">
        <f t="shared" si="38"/>
        <v>578.02500000000009</v>
      </c>
      <c r="AG41" s="29">
        <f t="shared" si="39"/>
        <v>231.10499999999999</v>
      </c>
      <c r="AH41" s="29">
        <f t="shared" si="40"/>
        <v>40</v>
      </c>
      <c r="AI41" s="87">
        <f t="shared" si="41"/>
        <v>48.798900000000003</v>
      </c>
      <c r="AJ41" s="87">
        <f t="shared" si="42"/>
        <v>17.332875000000001</v>
      </c>
      <c r="AK41" s="29"/>
      <c r="AL41" s="29">
        <f t="shared" si="43"/>
        <v>231.10500000000002</v>
      </c>
      <c r="AM41" s="29">
        <f t="shared" si="44"/>
        <v>1146.3667750000002</v>
      </c>
      <c r="AN41" s="115">
        <f t="shared" si="65"/>
        <v>11603.633225</v>
      </c>
      <c r="AO41" s="90">
        <f t="shared" si="89"/>
        <v>194176.81378999996</v>
      </c>
      <c r="AP41" s="19" t="s">
        <v>517</v>
      </c>
      <c r="AQ41" s="19" t="s">
        <v>517</v>
      </c>
      <c r="AS41" s="30">
        <f t="shared" si="90"/>
        <v>0.33333333333333331</v>
      </c>
      <c r="AT41" s="30">
        <f t="shared" si="91"/>
        <v>0.66666666666666663</v>
      </c>
      <c r="AU41" s="91">
        <f t="shared" si="24"/>
        <v>0.5</v>
      </c>
    </row>
    <row r="42" spans="1:47">
      <c r="A42" s="1">
        <f t="shared" si="56"/>
        <v>38</v>
      </c>
      <c r="B42" s="10" t="s">
        <v>13</v>
      </c>
      <c r="C42" s="17">
        <f t="shared" si="36"/>
        <v>43320</v>
      </c>
      <c r="D42" s="44">
        <f t="shared" si="8"/>
        <v>8</v>
      </c>
      <c r="E42" s="44">
        <f t="shared" si="9"/>
        <v>32</v>
      </c>
      <c r="F42" s="31" t="str">
        <f t="shared" si="95"/>
        <v>Wed</v>
      </c>
      <c r="G42" s="10" t="s">
        <v>541</v>
      </c>
      <c r="H42" s="10" t="s">
        <v>12</v>
      </c>
      <c r="I42" t="s">
        <v>464</v>
      </c>
      <c r="J42" s="10" t="s">
        <v>11</v>
      </c>
      <c r="K42" s="5" t="s">
        <v>477</v>
      </c>
      <c r="L42" s="5">
        <v>60</v>
      </c>
      <c r="M42" s="1">
        <v>27000</v>
      </c>
      <c r="N42" s="7">
        <v>40</v>
      </c>
      <c r="O42" s="25">
        <f>IF(G42="EqCash",1,VLOOKUP($I42,fo_mktlots!$B$1:$C$1000,2,0))</f>
        <v>40</v>
      </c>
      <c r="P42" s="38">
        <f>ROUNDUP(VLOOKUP(K42,Levers!$A$5:$B$12,2,0)*Levers!$B$2,0)</f>
        <v>10000</v>
      </c>
      <c r="Q42" s="82">
        <f t="shared" si="96"/>
        <v>6</v>
      </c>
      <c r="R42" s="5">
        <f>Q42+2</f>
        <v>8</v>
      </c>
      <c r="S42" s="39">
        <f t="shared" si="97"/>
        <v>12800</v>
      </c>
      <c r="T42" s="35" t="str">
        <f t="shared" si="27"/>
        <v>I'm taking higher risk</v>
      </c>
      <c r="U42" s="1">
        <v>27040</v>
      </c>
      <c r="V42" s="27">
        <f t="shared" si="60"/>
        <v>43320</v>
      </c>
      <c r="W42" s="26">
        <f t="shared" si="15"/>
        <v>-40</v>
      </c>
      <c r="X42" s="12">
        <f t="shared" si="98"/>
        <v>20</v>
      </c>
      <c r="Y42" s="12" t="str">
        <f t="shared" si="99"/>
        <v/>
      </c>
      <c r="Z42" s="12" t="str">
        <f t="shared" si="100"/>
        <v/>
      </c>
      <c r="AA42" s="7">
        <v>8</v>
      </c>
      <c r="AD42" s="9">
        <f t="shared" si="64"/>
        <v>-9600</v>
      </c>
      <c r="AE42" s="29">
        <f t="shared" si="37"/>
        <v>17292800</v>
      </c>
      <c r="AF42" s="29">
        <f t="shared" si="38"/>
        <v>864</v>
      </c>
      <c r="AG42" s="29">
        <f t="shared" si="39"/>
        <v>345.85599999999999</v>
      </c>
      <c r="AH42" s="29">
        <f t="shared" si="40"/>
        <v>40</v>
      </c>
      <c r="AI42" s="87">
        <f t="shared" si="41"/>
        <v>69.45407999999999</v>
      </c>
      <c r="AJ42" s="87">
        <f t="shared" si="42"/>
        <v>25.9392</v>
      </c>
      <c r="AK42" s="29"/>
      <c r="AL42" s="29">
        <f t="shared" si="43"/>
        <v>345.85600000000005</v>
      </c>
      <c r="AM42" s="29">
        <f t="shared" si="44"/>
        <v>1691.10528</v>
      </c>
      <c r="AN42" s="115">
        <f t="shared" si="65"/>
        <v>-11291.10528</v>
      </c>
      <c r="AO42" s="90">
        <f t="shared" si="89"/>
        <v>182885.70850999997</v>
      </c>
      <c r="AP42" s="19" t="s">
        <v>548</v>
      </c>
      <c r="AQ42" s="19" t="s">
        <v>517</v>
      </c>
      <c r="AS42" s="30">
        <f t="shared" si="90"/>
        <v>-1</v>
      </c>
      <c r="AT42" s="30" t="str">
        <f t="shared" si="91"/>
        <v/>
      </c>
      <c r="AU42" s="91">
        <f t="shared" si="24"/>
        <v>1</v>
      </c>
    </row>
    <row r="43" spans="1:47">
      <c r="A43" s="1">
        <f t="shared" si="56"/>
        <v>39</v>
      </c>
      <c r="B43" s="10" t="s">
        <v>471</v>
      </c>
      <c r="C43" s="17">
        <f>C42</f>
        <v>43320</v>
      </c>
      <c r="D43" s="44">
        <f t="shared" si="8"/>
        <v>8</v>
      </c>
      <c r="E43" s="44">
        <f t="shared" si="9"/>
        <v>32</v>
      </c>
      <c r="F43" s="31" t="str">
        <f t="shared" si="95"/>
        <v>Wed</v>
      </c>
      <c r="G43" s="10" t="s">
        <v>541</v>
      </c>
      <c r="H43" s="10" t="s">
        <v>12</v>
      </c>
      <c r="I43" t="s">
        <v>427</v>
      </c>
      <c r="J43" s="10" t="s">
        <v>0</v>
      </c>
      <c r="K43" s="5" t="s">
        <v>478</v>
      </c>
      <c r="L43" s="5">
        <v>60</v>
      </c>
      <c r="M43" s="1">
        <v>600</v>
      </c>
      <c r="N43" s="7">
        <v>5</v>
      </c>
      <c r="O43" s="25">
        <f>IF(G43="EqCash",1,VLOOKUP($I43,fo_mktlots!$B$1:$C$1000,2,0))</f>
        <v>1200</v>
      </c>
      <c r="P43" s="38">
        <f>ROUNDUP(VLOOKUP(K43,Levers!$A$5:$B$12,2,0)*Levers!$B$2,0)</f>
        <v>20000</v>
      </c>
      <c r="Q43" s="82">
        <f t="shared" si="96"/>
        <v>3</v>
      </c>
      <c r="R43" s="5">
        <f t="shared" ref="R43:R49" si="101">Q43</f>
        <v>3</v>
      </c>
      <c r="S43" s="39">
        <f t="shared" si="97"/>
        <v>18000</v>
      </c>
      <c r="T43" s="35" t="str">
        <f t="shared" si="27"/>
        <v>Acceptable risk</v>
      </c>
      <c r="U43" s="1">
        <v>595</v>
      </c>
      <c r="V43" s="27">
        <f t="shared" si="60"/>
        <v>43320</v>
      </c>
      <c r="W43" s="26">
        <f t="shared" si="15"/>
        <v>-5</v>
      </c>
      <c r="X43" s="12">
        <f>IF(W43&lt;0,N43/3,"")</f>
        <v>1.6666666666666667</v>
      </c>
      <c r="Y43" s="12" t="str">
        <f>IF(W43&gt;0,N43/2,"")</f>
        <v/>
      </c>
      <c r="Z43" s="12" t="str">
        <f>IF(W43&gt;0,W43*2.5,"")</f>
        <v/>
      </c>
      <c r="AA43" s="7">
        <v>9</v>
      </c>
      <c r="AD43" s="9">
        <f t="shared" si="64"/>
        <v>-18000</v>
      </c>
      <c r="AE43" s="29">
        <f t="shared" si="37"/>
        <v>4302000</v>
      </c>
      <c r="AF43" s="29">
        <f t="shared" si="38"/>
        <v>214.20000000000002</v>
      </c>
      <c r="AG43" s="29">
        <f t="shared" si="39"/>
        <v>86.04</v>
      </c>
      <c r="AH43" s="29">
        <f t="shared" si="40"/>
        <v>40</v>
      </c>
      <c r="AI43" s="87">
        <f t="shared" si="41"/>
        <v>22.687200000000001</v>
      </c>
      <c r="AJ43" s="87">
        <f t="shared" si="42"/>
        <v>6.4530000000000003</v>
      </c>
      <c r="AK43" s="29"/>
      <c r="AL43" s="29">
        <f t="shared" si="43"/>
        <v>86.04</v>
      </c>
      <c r="AM43" s="29">
        <f t="shared" si="44"/>
        <v>455.42020000000002</v>
      </c>
      <c r="AN43" s="115">
        <f t="shared" si="65"/>
        <v>-18455.4202</v>
      </c>
      <c r="AO43" s="90">
        <f t="shared" si="89"/>
        <v>164430.28830999997</v>
      </c>
      <c r="AP43" s="19" t="s">
        <v>527</v>
      </c>
      <c r="AQ43" s="19" t="s">
        <v>517</v>
      </c>
      <c r="AS43" s="30">
        <f t="shared" si="90"/>
        <v>-1</v>
      </c>
      <c r="AT43" s="30" t="str">
        <f t="shared" si="91"/>
        <v/>
      </c>
      <c r="AU43" s="91">
        <f t="shared" si="24"/>
        <v>1</v>
      </c>
    </row>
    <row r="44" spans="1:47">
      <c r="A44" s="1">
        <f t="shared" si="56"/>
        <v>40</v>
      </c>
      <c r="B44" s="10" t="s">
        <v>13</v>
      </c>
      <c r="C44" s="17">
        <f>C43+1</f>
        <v>43321</v>
      </c>
      <c r="D44" s="44">
        <f t="shared" si="8"/>
        <v>8</v>
      </c>
      <c r="E44" s="44">
        <f t="shared" si="9"/>
        <v>32</v>
      </c>
      <c r="F44" s="31" t="str">
        <f t="shared" si="95"/>
        <v>Thu</v>
      </c>
      <c r="G44" s="10" t="s">
        <v>543</v>
      </c>
      <c r="H44" s="10" t="s">
        <v>15</v>
      </c>
      <c r="I44" t="s">
        <v>427</v>
      </c>
      <c r="J44" s="10" t="s">
        <v>0</v>
      </c>
      <c r="K44" s="5" t="s">
        <v>476</v>
      </c>
      <c r="L44" s="7" t="s">
        <v>568</v>
      </c>
      <c r="M44" s="1">
        <v>600</v>
      </c>
      <c r="N44" s="7">
        <v>5</v>
      </c>
      <c r="O44" s="25">
        <f>IF(G44="EqCash",1,VLOOKUP($I44,fo_mktlots!$B$1:$C$1000,2,0))</f>
        <v>1</v>
      </c>
      <c r="P44" s="38">
        <f>ROUNDUP(VLOOKUP(K44,Levers!$A$5:$B$12,2,0)*Levers!$B$2,0)</f>
        <v>40000</v>
      </c>
      <c r="Q44" s="82">
        <f t="shared" si="96"/>
        <v>8000</v>
      </c>
      <c r="R44" s="5">
        <f t="shared" si="101"/>
        <v>8000</v>
      </c>
      <c r="S44" s="39">
        <f t="shared" si="97"/>
        <v>40000</v>
      </c>
      <c r="T44" s="35" t="str">
        <f t="shared" si="27"/>
        <v>Acceptable risk</v>
      </c>
      <c r="U44" s="1">
        <v>615</v>
      </c>
      <c r="V44" s="27">
        <f t="shared" si="60"/>
        <v>43322</v>
      </c>
      <c r="W44" s="26">
        <f t="shared" si="15"/>
        <v>15</v>
      </c>
      <c r="X44" s="12" t="str">
        <f t="shared" ref="X44:X45" si="102">IF(W44&lt;0,N44/3,"")</f>
        <v/>
      </c>
      <c r="Y44" s="12">
        <f t="shared" ref="Y44:Y45" si="103">IF(W44&gt;0,N44/2,"")</f>
        <v>2.5</v>
      </c>
      <c r="Z44" s="12">
        <f t="shared" ref="Z44:Z45" si="104">IF(W44&gt;0,W44*2.5,"")</f>
        <v>37.5</v>
      </c>
      <c r="AA44" s="1">
        <v>5</v>
      </c>
      <c r="AD44" s="9">
        <f t="shared" si="64"/>
        <v>120000</v>
      </c>
      <c r="AE44" s="29">
        <f t="shared" si="37"/>
        <v>9720000</v>
      </c>
      <c r="AF44" s="29">
        <f t="shared" si="38"/>
        <v>9720</v>
      </c>
      <c r="AG44" s="29">
        <f t="shared" si="39"/>
        <v>315.89999999999998</v>
      </c>
      <c r="AH44" s="29">
        <f t="shared" si="40"/>
        <v>40</v>
      </c>
      <c r="AI44" s="87">
        <f t="shared" si="41"/>
        <v>64.061999999999998</v>
      </c>
      <c r="AJ44" s="87">
        <f t="shared" si="42"/>
        <v>14.58</v>
      </c>
      <c r="AK44" s="29"/>
      <c r="AL44" s="29">
        <f t="shared" si="43"/>
        <v>972</v>
      </c>
      <c r="AM44" s="29">
        <f t="shared" si="44"/>
        <v>11126.541999999999</v>
      </c>
      <c r="AN44" s="115">
        <f t="shared" si="65"/>
        <v>108873.458</v>
      </c>
      <c r="AO44" s="90">
        <f t="shared" si="89"/>
        <v>273303.74630999996</v>
      </c>
      <c r="AP44" s="19" t="s">
        <v>517</v>
      </c>
      <c r="AQ44" s="19" t="s">
        <v>517</v>
      </c>
      <c r="AS44" s="30">
        <f t="shared" si="90"/>
        <v>3</v>
      </c>
      <c r="AT44" s="30">
        <f t="shared" si="91"/>
        <v>7.5</v>
      </c>
      <c r="AU44" s="91">
        <f t="shared" si="24"/>
        <v>0.4</v>
      </c>
    </row>
    <row r="45" spans="1:47">
      <c r="A45" s="1">
        <f t="shared" si="56"/>
        <v>41</v>
      </c>
      <c r="B45" s="10" t="s">
        <v>471</v>
      </c>
      <c r="C45" s="17">
        <f>C44+1</f>
        <v>43322</v>
      </c>
      <c r="D45" s="44">
        <f t="shared" si="8"/>
        <v>8</v>
      </c>
      <c r="E45" s="44">
        <f t="shared" si="9"/>
        <v>32</v>
      </c>
      <c r="F45" s="31" t="str">
        <f t="shared" si="95"/>
        <v>Fri</v>
      </c>
      <c r="G45" s="10" t="s">
        <v>543</v>
      </c>
      <c r="H45" s="10" t="s">
        <v>15</v>
      </c>
      <c r="I45" t="s">
        <v>403</v>
      </c>
      <c r="J45" s="10" t="s">
        <v>0</v>
      </c>
      <c r="K45" s="5" t="s">
        <v>478</v>
      </c>
      <c r="L45" s="7" t="s">
        <v>568</v>
      </c>
      <c r="M45" s="1">
        <v>2600</v>
      </c>
      <c r="N45" s="7">
        <v>10</v>
      </c>
      <c r="O45" s="25">
        <f>IF(G45="EqCash",1,VLOOKUP($I45,fo_mktlots!$B$1:$C$1000,2,0))</f>
        <v>1</v>
      </c>
      <c r="P45" s="38">
        <f>ROUNDUP(VLOOKUP(K45,Levers!$A$5:$B$12,2,0)*Levers!$B$2,0)</f>
        <v>20000</v>
      </c>
      <c r="Q45" s="82">
        <f t="shared" si="96"/>
        <v>2000</v>
      </c>
      <c r="R45" s="5">
        <f t="shared" si="101"/>
        <v>2000</v>
      </c>
      <c r="S45" s="39">
        <f t="shared" si="97"/>
        <v>20000</v>
      </c>
      <c r="T45" s="35" t="str">
        <f t="shared" si="27"/>
        <v>Acceptable risk</v>
      </c>
      <c r="U45" s="1">
        <v>2626</v>
      </c>
      <c r="V45" s="27">
        <f t="shared" si="60"/>
        <v>43322</v>
      </c>
      <c r="W45" s="26">
        <f t="shared" si="15"/>
        <v>26</v>
      </c>
      <c r="X45" s="12" t="str">
        <f t="shared" si="102"/>
        <v/>
      </c>
      <c r="Y45" s="12">
        <f t="shared" si="103"/>
        <v>5</v>
      </c>
      <c r="Z45" s="12">
        <f t="shared" si="104"/>
        <v>65</v>
      </c>
      <c r="AA45" s="1">
        <v>6</v>
      </c>
      <c r="AD45" s="9">
        <f t="shared" si="64"/>
        <v>52000</v>
      </c>
      <c r="AE45" s="29">
        <f t="shared" si="37"/>
        <v>10452000</v>
      </c>
      <c r="AF45" s="29">
        <f t="shared" si="38"/>
        <v>10452</v>
      </c>
      <c r="AG45" s="29">
        <f t="shared" si="39"/>
        <v>339.69</v>
      </c>
      <c r="AH45" s="29">
        <f t="shared" si="40"/>
        <v>40</v>
      </c>
      <c r="AI45" s="87">
        <f t="shared" si="41"/>
        <v>68.344200000000001</v>
      </c>
      <c r="AJ45" s="87">
        <f t="shared" si="42"/>
        <v>15.678000000000001</v>
      </c>
      <c r="AK45" s="29"/>
      <c r="AL45" s="29">
        <f t="shared" si="43"/>
        <v>1045.2</v>
      </c>
      <c r="AM45" s="29">
        <f t="shared" si="44"/>
        <v>11960.912200000001</v>
      </c>
      <c r="AN45" s="115">
        <f t="shared" si="65"/>
        <v>40039.087800000001</v>
      </c>
      <c r="AO45" s="90">
        <f t="shared" si="89"/>
        <v>313342.83410999994</v>
      </c>
      <c r="AP45" s="19" t="s">
        <v>517</v>
      </c>
      <c r="AQ45" s="19" t="s">
        <v>517</v>
      </c>
      <c r="AS45" s="30">
        <f t="shared" si="90"/>
        <v>2.6</v>
      </c>
      <c r="AT45" s="30">
        <f t="shared" si="91"/>
        <v>6.5</v>
      </c>
      <c r="AU45" s="91">
        <f t="shared" si="24"/>
        <v>0.4</v>
      </c>
    </row>
    <row r="46" spans="1:47">
      <c r="A46" s="1">
        <f t="shared" si="56"/>
        <v>42</v>
      </c>
      <c r="B46" s="10" t="s">
        <v>13</v>
      </c>
      <c r="C46" s="17">
        <f>C45</f>
        <v>43322</v>
      </c>
      <c r="D46" s="44">
        <f t="shared" si="8"/>
        <v>8</v>
      </c>
      <c r="E46" s="44">
        <f t="shared" si="9"/>
        <v>32</v>
      </c>
      <c r="F46" s="31" t="str">
        <f t="shared" si="95"/>
        <v>Fri</v>
      </c>
      <c r="G46" s="10" t="s">
        <v>543</v>
      </c>
      <c r="H46" s="10" t="s">
        <v>15</v>
      </c>
      <c r="I46" t="s">
        <v>403</v>
      </c>
      <c r="J46" s="10" t="s">
        <v>0</v>
      </c>
      <c r="K46" s="5" t="s">
        <v>476</v>
      </c>
      <c r="L46" s="7" t="s">
        <v>568</v>
      </c>
      <c r="M46" s="1">
        <v>2600</v>
      </c>
      <c r="N46" s="7">
        <v>10</v>
      </c>
      <c r="O46" s="25">
        <f>IF(G46="EqCash",1,VLOOKUP($I46,fo_mktlots!$B$1:$C$1000,2,0))</f>
        <v>1</v>
      </c>
      <c r="P46" s="38">
        <f>ROUNDUP(VLOOKUP(K46,Levers!$A$5:$B$12,2,0)*Levers!$B$2,0)</f>
        <v>40000</v>
      </c>
      <c r="Q46" s="82">
        <f t="shared" si="96"/>
        <v>4000</v>
      </c>
      <c r="R46" s="5">
        <f t="shared" si="101"/>
        <v>4000</v>
      </c>
      <c r="S46" s="39">
        <f t="shared" si="97"/>
        <v>40000</v>
      </c>
      <c r="T46" s="35" t="str">
        <f t="shared" si="27"/>
        <v>Acceptable risk</v>
      </c>
      <c r="U46" s="1">
        <v>2590</v>
      </c>
      <c r="V46" s="27">
        <f t="shared" si="60"/>
        <v>43325</v>
      </c>
      <c r="W46" s="26">
        <f t="shared" si="15"/>
        <v>-10</v>
      </c>
      <c r="X46" s="12">
        <f>IF(W46&lt;0,N46/2,"")</f>
        <v>5</v>
      </c>
      <c r="Y46" s="12" t="str">
        <f>IF(W46&gt;0,N46/3,"")</f>
        <v/>
      </c>
      <c r="Z46" s="12" t="str">
        <f>IF(W46&gt;0,W46*2,"")</f>
        <v/>
      </c>
      <c r="AA46" s="1">
        <v>7</v>
      </c>
      <c r="AD46" s="9">
        <f t="shared" si="64"/>
        <v>-40000</v>
      </c>
      <c r="AE46" s="29">
        <f t="shared" si="37"/>
        <v>20760000</v>
      </c>
      <c r="AF46" s="29">
        <f t="shared" si="38"/>
        <v>20760</v>
      </c>
      <c r="AG46" s="29">
        <f t="shared" si="39"/>
        <v>674.7</v>
      </c>
      <c r="AH46" s="29">
        <f t="shared" si="40"/>
        <v>40</v>
      </c>
      <c r="AI46" s="87">
        <f t="shared" si="41"/>
        <v>128.64600000000002</v>
      </c>
      <c r="AJ46" s="87">
        <f t="shared" si="42"/>
        <v>31.14</v>
      </c>
      <c r="AK46" s="29"/>
      <c r="AL46" s="29">
        <f t="shared" si="43"/>
        <v>2076</v>
      </c>
      <c r="AM46" s="29">
        <f t="shared" si="44"/>
        <v>23710.486000000001</v>
      </c>
      <c r="AN46" s="115">
        <f t="shared" si="65"/>
        <v>-63710.486000000004</v>
      </c>
      <c r="AO46" s="90">
        <f t="shared" si="89"/>
        <v>249632.34810999993</v>
      </c>
      <c r="AP46" s="19" t="s">
        <v>548</v>
      </c>
      <c r="AQ46" s="19" t="s">
        <v>517</v>
      </c>
      <c r="AS46" s="30">
        <f t="shared" si="90"/>
        <v>-1</v>
      </c>
      <c r="AT46" s="30" t="str">
        <f t="shared" si="91"/>
        <v/>
      </c>
      <c r="AU46" s="91">
        <f t="shared" si="24"/>
        <v>1</v>
      </c>
    </row>
    <row r="47" spans="1:47">
      <c r="A47" s="1">
        <f t="shared" si="56"/>
        <v>43</v>
      </c>
      <c r="B47" s="10" t="s">
        <v>471</v>
      </c>
      <c r="C47" s="17">
        <f>C46+3</f>
        <v>43325</v>
      </c>
      <c r="D47" s="44">
        <f t="shared" si="8"/>
        <v>8</v>
      </c>
      <c r="E47" s="44">
        <f t="shared" si="9"/>
        <v>33</v>
      </c>
      <c r="F47" s="31" t="str">
        <f t="shared" si="95"/>
        <v>Mon</v>
      </c>
      <c r="G47" s="10" t="s">
        <v>543</v>
      </c>
      <c r="H47" s="10" t="s">
        <v>15</v>
      </c>
      <c r="I47" t="s">
        <v>427</v>
      </c>
      <c r="J47" s="10" t="s">
        <v>0</v>
      </c>
      <c r="K47" s="5" t="s">
        <v>477</v>
      </c>
      <c r="L47" s="7" t="s">
        <v>568</v>
      </c>
      <c r="M47" s="1">
        <v>600</v>
      </c>
      <c r="N47" s="7">
        <v>5</v>
      </c>
      <c r="O47" s="25">
        <f>IF(G47="EqCash",1,VLOOKUP($I47,fo_mktlots!$B$1:$C$1000,2,0))</f>
        <v>1</v>
      </c>
      <c r="P47" s="38">
        <f>ROUNDUP(VLOOKUP(K47,Levers!$A$5:$B$12,2,0)*Levers!$B$2,0)</f>
        <v>10000</v>
      </c>
      <c r="Q47" s="82">
        <f t="shared" si="96"/>
        <v>2000</v>
      </c>
      <c r="R47" s="5">
        <f t="shared" si="101"/>
        <v>2000</v>
      </c>
      <c r="S47" s="39">
        <f t="shared" si="97"/>
        <v>10000</v>
      </c>
      <c r="T47" s="35" t="str">
        <f t="shared" si="27"/>
        <v>Acceptable risk</v>
      </c>
      <c r="U47" s="1">
        <v>611</v>
      </c>
      <c r="V47" s="27">
        <f t="shared" si="60"/>
        <v>43325</v>
      </c>
      <c r="W47" s="26">
        <f t="shared" si="15"/>
        <v>11</v>
      </c>
      <c r="X47" s="12" t="str">
        <f t="shared" ref="X47:X48" si="105">IF(W47&lt;0,N47/2,"")</f>
        <v/>
      </c>
      <c r="Y47" s="12">
        <f t="shared" ref="Y47:Y48" si="106">IF(W47&gt;0,N47/3,"")</f>
        <v>1.6666666666666667</v>
      </c>
      <c r="Z47" s="12">
        <f t="shared" ref="Z47:Z48" si="107">IF(W47&gt;0,W47*2,"")</f>
        <v>22</v>
      </c>
      <c r="AA47" s="7">
        <v>8</v>
      </c>
      <c r="AD47" s="9">
        <f t="shared" si="64"/>
        <v>22000</v>
      </c>
      <c r="AE47" s="29">
        <f t="shared" si="37"/>
        <v>2422000</v>
      </c>
      <c r="AF47" s="29">
        <f t="shared" si="38"/>
        <v>2422</v>
      </c>
      <c r="AG47" s="29">
        <f t="shared" si="39"/>
        <v>78.715000000000003</v>
      </c>
      <c r="AH47" s="29">
        <f t="shared" si="40"/>
        <v>40</v>
      </c>
      <c r="AI47" s="87">
        <f t="shared" si="41"/>
        <v>21.3687</v>
      </c>
      <c r="AJ47" s="87">
        <f t="shared" si="42"/>
        <v>3.633</v>
      </c>
      <c r="AK47" s="29"/>
      <c r="AL47" s="29">
        <f t="shared" si="43"/>
        <v>242.20000000000002</v>
      </c>
      <c r="AM47" s="29">
        <f t="shared" si="44"/>
        <v>2807.9166999999998</v>
      </c>
      <c r="AN47" s="115">
        <f t="shared" si="65"/>
        <v>19192.083299999998</v>
      </c>
      <c r="AO47" s="90">
        <f t="shared" si="89"/>
        <v>268824.43140999996</v>
      </c>
      <c r="AP47" s="19" t="s">
        <v>517</v>
      </c>
      <c r="AQ47" s="19" t="s">
        <v>517</v>
      </c>
      <c r="AS47" s="30">
        <f t="shared" si="90"/>
        <v>2.2000000000000002</v>
      </c>
      <c r="AT47" s="30">
        <f t="shared" si="91"/>
        <v>4.4000000000000004</v>
      </c>
      <c r="AU47" s="91">
        <f t="shared" si="24"/>
        <v>0.5</v>
      </c>
    </row>
    <row r="48" spans="1:47">
      <c r="A48" s="1">
        <f t="shared" si="56"/>
        <v>44</v>
      </c>
      <c r="B48" s="10" t="s">
        <v>13</v>
      </c>
      <c r="C48" s="17">
        <f>C47</f>
        <v>43325</v>
      </c>
      <c r="D48" s="44">
        <f t="shared" si="8"/>
        <v>8</v>
      </c>
      <c r="E48" s="44">
        <f t="shared" si="9"/>
        <v>33</v>
      </c>
      <c r="F48" s="31" t="str">
        <f t="shared" si="95"/>
        <v>Mon</v>
      </c>
      <c r="G48" s="10" t="s">
        <v>542</v>
      </c>
      <c r="H48" s="10" t="s">
        <v>12</v>
      </c>
      <c r="I48" t="s">
        <v>464</v>
      </c>
      <c r="J48" s="10" t="s">
        <v>11</v>
      </c>
      <c r="K48" s="5" t="s">
        <v>477</v>
      </c>
      <c r="L48" s="5">
        <v>15</v>
      </c>
      <c r="M48" s="1">
        <v>27000</v>
      </c>
      <c r="N48" s="7">
        <v>40</v>
      </c>
      <c r="O48" s="25">
        <f>IF(G48="EqCash",1,VLOOKUP($I48,fo_mktlots!$B$1:$C$1000,2,0))</f>
        <v>40</v>
      </c>
      <c r="P48" s="38">
        <f>ROUNDUP(VLOOKUP(K48,Levers!$A$5:$B$12,2,0)*Levers!$B$2,0)</f>
        <v>10000</v>
      </c>
      <c r="Q48" s="82">
        <f t="shared" si="96"/>
        <v>6</v>
      </c>
      <c r="R48" s="5">
        <f t="shared" si="101"/>
        <v>6</v>
      </c>
      <c r="S48" s="39">
        <f t="shared" si="97"/>
        <v>9600</v>
      </c>
      <c r="T48" s="35" t="str">
        <f t="shared" si="27"/>
        <v>Acceptable risk</v>
      </c>
      <c r="U48" s="1">
        <v>26940</v>
      </c>
      <c r="V48" s="27">
        <f t="shared" si="60"/>
        <v>43325</v>
      </c>
      <c r="W48" s="26">
        <f t="shared" si="15"/>
        <v>60</v>
      </c>
      <c r="X48" s="12" t="str">
        <f t="shared" si="105"/>
        <v/>
      </c>
      <c r="Y48" s="12">
        <f t="shared" si="106"/>
        <v>13.333333333333334</v>
      </c>
      <c r="Z48" s="12">
        <f t="shared" si="107"/>
        <v>120</v>
      </c>
      <c r="AA48" s="7">
        <v>9</v>
      </c>
      <c r="AD48" s="9">
        <f t="shared" si="64"/>
        <v>14400</v>
      </c>
      <c r="AE48" s="29">
        <f t="shared" si="37"/>
        <v>9600</v>
      </c>
      <c r="AF48" s="29">
        <f t="shared" si="38"/>
        <v>3240</v>
      </c>
      <c r="AG48" s="29">
        <f t="shared" si="39"/>
        <v>5.0880000000000001</v>
      </c>
      <c r="AH48" s="29">
        <f t="shared" si="40"/>
        <v>40</v>
      </c>
      <c r="AI48" s="87">
        <f t="shared" si="41"/>
        <v>8.1158400000000004</v>
      </c>
      <c r="AJ48" s="87">
        <f t="shared" si="42"/>
        <v>1.44E-2</v>
      </c>
      <c r="AK48" s="29"/>
      <c r="AL48" s="29">
        <f t="shared" si="43"/>
        <v>0.192</v>
      </c>
      <c r="AM48" s="29">
        <f t="shared" si="44"/>
        <v>3293.4102400000002</v>
      </c>
      <c r="AN48" s="115">
        <f t="shared" si="65"/>
        <v>11106.589759999999</v>
      </c>
      <c r="AO48" s="90">
        <f t="shared" si="89"/>
        <v>279931.02116999996</v>
      </c>
      <c r="AP48" s="19" t="s">
        <v>517</v>
      </c>
      <c r="AQ48" s="19" t="s">
        <v>517</v>
      </c>
      <c r="AS48" s="30">
        <f t="shared" si="90"/>
        <v>1.5</v>
      </c>
      <c r="AT48" s="30">
        <f t="shared" si="91"/>
        <v>3</v>
      </c>
      <c r="AU48" s="91">
        <f t="shared" si="24"/>
        <v>0.5</v>
      </c>
    </row>
    <row r="49" spans="1:47">
      <c r="A49" s="1">
        <f t="shared" si="56"/>
        <v>45</v>
      </c>
      <c r="B49" s="10" t="s">
        <v>471</v>
      </c>
      <c r="C49" s="17">
        <f t="shared" si="36"/>
        <v>43326</v>
      </c>
      <c r="D49" s="44">
        <f t="shared" si="8"/>
        <v>8</v>
      </c>
      <c r="E49" s="44">
        <f t="shared" si="9"/>
        <v>33</v>
      </c>
      <c r="F49" s="31" t="str">
        <f t="shared" si="95"/>
        <v>Tue</v>
      </c>
      <c r="G49" s="10" t="s">
        <v>542</v>
      </c>
      <c r="H49" s="10" t="s">
        <v>12</v>
      </c>
      <c r="I49" t="s">
        <v>403</v>
      </c>
      <c r="J49" s="10" t="s">
        <v>11</v>
      </c>
      <c r="K49" s="5" t="s">
        <v>478</v>
      </c>
      <c r="L49" s="5">
        <v>5</v>
      </c>
      <c r="M49" s="1">
        <v>2600</v>
      </c>
      <c r="N49" s="7">
        <v>10</v>
      </c>
      <c r="O49" s="25">
        <f>IF(G49="EqCash",1,VLOOKUP($I49,fo_mktlots!$B$1:$C$1000,2,0))</f>
        <v>250</v>
      </c>
      <c r="P49" s="38">
        <f>ROUNDUP(VLOOKUP(K49,Levers!$A$5:$B$12,2,0)*Levers!$B$2,0)</f>
        <v>20000</v>
      </c>
      <c r="Q49" s="82">
        <f t="shared" si="96"/>
        <v>8</v>
      </c>
      <c r="R49" s="5">
        <f t="shared" si="101"/>
        <v>8</v>
      </c>
      <c r="S49" s="39">
        <f t="shared" si="97"/>
        <v>20000</v>
      </c>
      <c r="T49" s="35" t="str">
        <f t="shared" si="27"/>
        <v>Acceptable risk</v>
      </c>
      <c r="U49" s="1">
        <f>M49-19</f>
        <v>2581</v>
      </c>
      <c r="V49" s="27">
        <f t="shared" si="60"/>
        <v>43326</v>
      </c>
      <c r="W49" s="26">
        <f t="shared" si="15"/>
        <v>19</v>
      </c>
      <c r="X49" s="12" t="str">
        <f>IF(W49&lt;0,N49/3,"")</f>
        <v/>
      </c>
      <c r="Y49" s="12">
        <f>IF(W49&gt;0,N49/2,"")</f>
        <v>5</v>
      </c>
      <c r="Z49" s="12">
        <f>IF(W49&gt;0,W49*2.5,"")</f>
        <v>47.5</v>
      </c>
      <c r="AA49" s="1">
        <v>5</v>
      </c>
      <c r="AD49" s="9">
        <f t="shared" si="64"/>
        <v>38000</v>
      </c>
      <c r="AE49" s="29">
        <f t="shared" si="37"/>
        <v>162000</v>
      </c>
      <c r="AF49" s="29">
        <f t="shared" si="38"/>
        <v>2600</v>
      </c>
      <c r="AG49" s="29">
        <f t="shared" si="39"/>
        <v>85.86</v>
      </c>
      <c r="AH49" s="29">
        <f t="shared" si="40"/>
        <v>40</v>
      </c>
      <c r="AI49" s="87">
        <f t="shared" si="41"/>
        <v>22.654799999999998</v>
      </c>
      <c r="AJ49" s="87">
        <f t="shared" si="42"/>
        <v>0.24299999999999999</v>
      </c>
      <c r="AK49" s="29"/>
      <c r="AL49" s="29">
        <f t="shared" si="43"/>
        <v>3.24</v>
      </c>
      <c r="AM49" s="29">
        <f t="shared" si="44"/>
        <v>2751.9977999999996</v>
      </c>
      <c r="AN49" s="115">
        <f t="shared" si="65"/>
        <v>35248.002200000003</v>
      </c>
      <c r="AO49" s="90">
        <f t="shared" si="89"/>
        <v>315179.02336999995</v>
      </c>
      <c r="AP49" s="19" t="s">
        <v>517</v>
      </c>
      <c r="AQ49" s="19" t="s">
        <v>517</v>
      </c>
      <c r="AS49" s="30">
        <f t="shared" si="90"/>
        <v>1.9</v>
      </c>
      <c r="AT49" s="30">
        <f t="shared" si="91"/>
        <v>4.75</v>
      </c>
      <c r="AU49" s="91">
        <f t="shared" si="24"/>
        <v>0.39999999999999997</v>
      </c>
    </row>
    <row r="50" spans="1:47">
      <c r="A50" s="1">
        <f t="shared" si="56"/>
        <v>46</v>
      </c>
      <c r="B50" s="10" t="s">
        <v>13</v>
      </c>
      <c r="C50" s="17">
        <f t="shared" si="36"/>
        <v>43327</v>
      </c>
      <c r="D50" s="44">
        <f t="shared" si="8"/>
        <v>8</v>
      </c>
      <c r="E50" s="44">
        <f t="shared" si="9"/>
        <v>33</v>
      </c>
      <c r="F50" s="31" t="str">
        <f t="shared" si="95"/>
        <v>Wed</v>
      </c>
      <c r="G50" s="10" t="s">
        <v>542</v>
      </c>
      <c r="H50" s="10" t="s">
        <v>12</v>
      </c>
      <c r="I50" t="s">
        <v>26</v>
      </c>
      <c r="J50" s="10" t="s">
        <v>11</v>
      </c>
      <c r="K50" s="5" t="s">
        <v>476</v>
      </c>
      <c r="L50" s="5">
        <v>60</v>
      </c>
      <c r="M50" s="1">
        <v>11000</v>
      </c>
      <c r="N50" s="7">
        <v>30</v>
      </c>
      <c r="O50" s="25">
        <f>IF(G50="EqCash",1,VLOOKUP($I50,fo_mktlots!$B$1:$C$1000,2,0))</f>
        <v>75</v>
      </c>
      <c r="P50" s="38">
        <f>ROUNDUP(VLOOKUP(K50,Levers!$A$5:$B$12,2,0)*Levers!$B$2,0)</f>
        <v>40000</v>
      </c>
      <c r="Q50" s="82">
        <f t="shared" si="96"/>
        <v>17</v>
      </c>
      <c r="R50" s="5">
        <f>Q50+5</f>
        <v>22</v>
      </c>
      <c r="S50" s="39">
        <f t="shared" si="97"/>
        <v>49500</v>
      </c>
      <c r="T50" s="35" t="str">
        <f t="shared" si="27"/>
        <v>I'm taking higher risk</v>
      </c>
      <c r="U50" s="1">
        <v>11010</v>
      </c>
      <c r="V50" s="27">
        <f t="shared" si="60"/>
        <v>43327</v>
      </c>
      <c r="W50" s="26">
        <f t="shared" si="15"/>
        <v>-10</v>
      </c>
      <c r="X50" s="12">
        <f t="shared" ref="X50:X51" si="108">IF(W50&lt;0,N50/3,"")</f>
        <v>10</v>
      </c>
      <c r="Y50" s="12" t="str">
        <f t="shared" ref="Y50:Y51" si="109">IF(W50&gt;0,N50/2,"")</f>
        <v/>
      </c>
      <c r="Z50" s="12" t="str">
        <f t="shared" ref="Z50:Z51" si="110">IF(W50&gt;0,W50*2.5,"")</f>
        <v/>
      </c>
      <c r="AA50" s="1">
        <v>6</v>
      </c>
      <c r="AD50" s="9">
        <f t="shared" si="64"/>
        <v>-12750</v>
      </c>
      <c r="AE50" s="29">
        <f t="shared" si="37"/>
        <v>181500</v>
      </c>
      <c r="AF50" s="29">
        <f t="shared" si="38"/>
        <v>9075</v>
      </c>
      <c r="AG50" s="29">
        <f t="shared" si="39"/>
        <v>96.194999999999993</v>
      </c>
      <c r="AH50" s="29">
        <f t="shared" si="40"/>
        <v>40</v>
      </c>
      <c r="AI50" s="87">
        <f t="shared" si="41"/>
        <v>24.515099999999997</v>
      </c>
      <c r="AJ50" s="87">
        <f t="shared" si="42"/>
        <v>0.27224999999999999</v>
      </c>
      <c r="AK50" s="29"/>
      <c r="AL50" s="29">
        <f t="shared" si="43"/>
        <v>3.6300000000000003</v>
      </c>
      <c r="AM50" s="29">
        <f t="shared" si="44"/>
        <v>9239.6123499999994</v>
      </c>
      <c r="AN50" s="115">
        <f t="shared" si="65"/>
        <v>-21989.612349999999</v>
      </c>
      <c r="AO50" s="90">
        <f t="shared" si="89"/>
        <v>293189.41101999994</v>
      </c>
      <c r="AP50" s="19" t="s">
        <v>548</v>
      </c>
      <c r="AQ50" s="19" t="s">
        <v>517</v>
      </c>
      <c r="AS50" s="30">
        <f t="shared" si="90"/>
        <v>-0.33333333333333331</v>
      </c>
      <c r="AT50" s="30" t="str">
        <f t="shared" si="91"/>
        <v/>
      </c>
      <c r="AU50" s="91">
        <f t="shared" si="24"/>
        <v>1</v>
      </c>
    </row>
    <row r="51" spans="1:47">
      <c r="A51" s="1">
        <f t="shared" si="56"/>
        <v>47</v>
      </c>
      <c r="B51" s="10" t="s">
        <v>471</v>
      </c>
      <c r="C51" s="17">
        <f>C50</f>
        <v>43327</v>
      </c>
      <c r="D51" s="44">
        <f t="shared" si="8"/>
        <v>8</v>
      </c>
      <c r="E51" s="44">
        <f t="shared" si="9"/>
        <v>33</v>
      </c>
      <c r="F51" s="31" t="str">
        <f t="shared" si="95"/>
        <v>Wed</v>
      </c>
      <c r="G51" s="10" t="s">
        <v>542</v>
      </c>
      <c r="H51" s="10" t="s">
        <v>12</v>
      </c>
      <c r="I51" t="s">
        <v>464</v>
      </c>
      <c r="J51" s="10" t="s">
        <v>0</v>
      </c>
      <c r="K51" s="5" t="s">
        <v>478</v>
      </c>
      <c r="L51" s="7">
        <v>5</v>
      </c>
      <c r="M51" s="1">
        <v>27000</v>
      </c>
      <c r="N51" s="7">
        <v>40</v>
      </c>
      <c r="O51" s="25">
        <f>IF(G51="EqCash",1,VLOOKUP($I51,fo_mktlots!$B$1:$C$1000,2,0))</f>
        <v>40</v>
      </c>
      <c r="P51" s="38">
        <f>ROUNDUP(VLOOKUP(K51,Levers!$A$5:$B$12,2,0)*Levers!$B$2,0)</f>
        <v>20000</v>
      </c>
      <c r="Q51" s="82">
        <f t="shared" si="96"/>
        <v>12</v>
      </c>
      <c r="R51" s="5">
        <f>Q51+3</f>
        <v>15</v>
      </c>
      <c r="S51" s="39">
        <f t="shared" si="97"/>
        <v>24000</v>
      </c>
      <c r="T51" s="35" t="str">
        <f t="shared" si="27"/>
        <v>I'm taking higher risk</v>
      </c>
      <c r="U51" s="1">
        <v>27030</v>
      </c>
      <c r="V51" s="27">
        <f t="shared" si="60"/>
        <v>43327</v>
      </c>
      <c r="W51" s="26">
        <f t="shared" si="15"/>
        <v>30</v>
      </c>
      <c r="X51" s="12" t="str">
        <f t="shared" si="108"/>
        <v/>
      </c>
      <c r="Y51" s="12">
        <f t="shared" si="109"/>
        <v>20</v>
      </c>
      <c r="Z51" s="12">
        <f t="shared" si="110"/>
        <v>75</v>
      </c>
      <c r="AA51" s="1">
        <v>7</v>
      </c>
      <c r="AD51" s="9">
        <f t="shared" si="64"/>
        <v>14400</v>
      </c>
      <c r="AE51" s="29">
        <f t="shared" si="37"/>
        <v>78000</v>
      </c>
      <c r="AF51" s="29">
        <f t="shared" si="38"/>
        <v>8109</v>
      </c>
      <c r="AG51" s="29">
        <f t="shared" si="39"/>
        <v>41.34</v>
      </c>
      <c r="AH51" s="29">
        <f t="shared" si="40"/>
        <v>40</v>
      </c>
      <c r="AI51" s="87">
        <f t="shared" si="41"/>
        <v>14.6412</v>
      </c>
      <c r="AJ51" s="87">
        <f t="shared" si="42"/>
        <v>0.11700000000000001</v>
      </c>
      <c r="AK51" s="29"/>
      <c r="AL51" s="29">
        <f t="shared" si="43"/>
        <v>1.56</v>
      </c>
      <c r="AM51" s="29">
        <f t="shared" si="44"/>
        <v>8206.6581999999999</v>
      </c>
      <c r="AN51" s="115">
        <f t="shared" si="65"/>
        <v>6193.3418000000001</v>
      </c>
      <c r="AO51" s="90">
        <f t="shared" si="89"/>
        <v>299382.75281999994</v>
      </c>
      <c r="AP51" s="19" t="s">
        <v>517</v>
      </c>
      <c r="AQ51" s="19" t="s">
        <v>517</v>
      </c>
      <c r="AS51" s="30">
        <f t="shared" si="90"/>
        <v>0.75</v>
      </c>
      <c r="AT51" s="30">
        <f t="shared" si="91"/>
        <v>1.875</v>
      </c>
      <c r="AU51" s="91">
        <f t="shared" si="24"/>
        <v>0.4</v>
      </c>
    </row>
    <row r="52" spans="1:47">
      <c r="A52" s="1">
        <f t="shared" si="56"/>
        <v>48</v>
      </c>
      <c r="B52" s="10" t="s">
        <v>13</v>
      </c>
      <c r="C52" s="17">
        <f>C51+1</f>
        <v>43328</v>
      </c>
      <c r="D52" s="44">
        <f t="shared" si="8"/>
        <v>8</v>
      </c>
      <c r="E52" s="44">
        <f t="shared" si="9"/>
        <v>33</v>
      </c>
      <c r="F52" s="31" t="str">
        <f t="shared" ref="F52:F53" si="111">TEXT(C52,"ddd")</f>
        <v>Thu</v>
      </c>
      <c r="G52" s="10" t="s">
        <v>542</v>
      </c>
      <c r="H52" s="10" t="s">
        <v>12</v>
      </c>
      <c r="I52" t="s">
        <v>26</v>
      </c>
      <c r="J52" s="10" t="s">
        <v>11</v>
      </c>
      <c r="K52" s="5" t="s">
        <v>476</v>
      </c>
      <c r="L52" s="5">
        <v>60</v>
      </c>
      <c r="M52" s="1">
        <v>11000</v>
      </c>
      <c r="N52" s="7">
        <v>30</v>
      </c>
      <c r="O52" s="25">
        <f>IF(G52="EqCash",1,VLOOKUP($I52,fo_mktlots!$B$1:$C$1000,2,0))</f>
        <v>75</v>
      </c>
      <c r="P52" s="38">
        <f>ROUNDUP(VLOOKUP(K52,Levers!$A$5:$B$12,2,0)*Levers!$B$2,0)</f>
        <v>40000</v>
      </c>
      <c r="Q52" s="82">
        <f t="shared" ref="Q52:Q53" si="112">ROUNDDOWN(P52/(O52*N52),0)</f>
        <v>17</v>
      </c>
      <c r="R52" s="5">
        <f>Q52+5</f>
        <v>22</v>
      </c>
      <c r="S52" s="39">
        <f t="shared" ref="S52:S53" si="113">R52*O52*(N52)</f>
        <v>49500</v>
      </c>
      <c r="T52" s="35" t="str">
        <f t="shared" si="27"/>
        <v>I'm taking higher risk</v>
      </c>
      <c r="U52" s="1">
        <v>11010</v>
      </c>
      <c r="V52" s="27">
        <f t="shared" ref="V52:V53" si="114">IF(H52="Intra",C52,C53)</f>
        <v>43328</v>
      </c>
      <c r="W52" s="26">
        <f t="shared" si="15"/>
        <v>-10</v>
      </c>
      <c r="X52" s="12">
        <f>IF(W52&lt;0,N52/2,"")</f>
        <v>15</v>
      </c>
      <c r="Y52" s="12" t="str">
        <f>IF(W52&gt;0,N52/3,"")</f>
        <v/>
      </c>
      <c r="Z52" s="12" t="str">
        <f>IF(W52&gt;0,W52*2,"")</f>
        <v/>
      </c>
      <c r="AA52" s="7">
        <v>8</v>
      </c>
      <c r="AD52" s="9">
        <f t="shared" ref="AD52:AD53" si="115">IF(J52="Buy",(U52-M52)*O52*Q52,-(U52-M52)*O52*Q52)</f>
        <v>-12750</v>
      </c>
      <c r="AE52" s="29">
        <f t="shared" si="37"/>
        <v>181500</v>
      </c>
      <c r="AF52" s="29">
        <f t="shared" si="38"/>
        <v>9075</v>
      </c>
      <c r="AG52" s="29">
        <f t="shared" si="39"/>
        <v>96.194999999999993</v>
      </c>
      <c r="AH52" s="29">
        <f t="shared" si="40"/>
        <v>40</v>
      </c>
      <c r="AI52" s="87">
        <f t="shared" si="41"/>
        <v>24.515099999999997</v>
      </c>
      <c r="AJ52" s="87">
        <f t="shared" si="42"/>
        <v>0.27224999999999999</v>
      </c>
      <c r="AK52" s="29"/>
      <c r="AL52" s="29">
        <f t="shared" si="43"/>
        <v>3.6300000000000003</v>
      </c>
      <c r="AM52" s="29">
        <f t="shared" si="44"/>
        <v>9239.6123499999994</v>
      </c>
      <c r="AN52" s="115">
        <f t="shared" ref="AN52:AN53" si="116">IFERROR(AD52-AM52,0)</f>
        <v>-21989.612349999999</v>
      </c>
      <c r="AO52" s="90">
        <f t="shared" si="89"/>
        <v>277393.14046999993</v>
      </c>
      <c r="AP52" s="19" t="s">
        <v>548</v>
      </c>
      <c r="AQ52" s="19" t="s">
        <v>517</v>
      </c>
      <c r="AS52" s="30">
        <f t="shared" si="90"/>
        <v>-0.33333333333333331</v>
      </c>
      <c r="AT52" s="30" t="str">
        <f t="shared" si="91"/>
        <v/>
      </c>
      <c r="AU52" s="91">
        <f t="shared" si="24"/>
        <v>1</v>
      </c>
    </row>
    <row r="53" spans="1:47">
      <c r="A53" s="1">
        <f t="shared" si="56"/>
        <v>49</v>
      </c>
      <c r="B53" s="10" t="s">
        <v>471</v>
      </c>
      <c r="C53" s="17">
        <f>C52+1</f>
        <v>43329</v>
      </c>
      <c r="D53" s="44">
        <f t="shared" si="8"/>
        <v>8</v>
      </c>
      <c r="E53" s="44">
        <f t="shared" si="9"/>
        <v>33</v>
      </c>
      <c r="F53" s="31" t="str">
        <f t="shared" si="111"/>
        <v>Fri</v>
      </c>
      <c r="G53" s="10" t="s">
        <v>542</v>
      </c>
      <c r="H53" s="10" t="s">
        <v>12</v>
      </c>
      <c r="I53" t="s">
        <v>464</v>
      </c>
      <c r="J53" s="10" t="s">
        <v>0</v>
      </c>
      <c r="K53" s="5" t="s">
        <v>477</v>
      </c>
      <c r="L53" s="7">
        <v>5</v>
      </c>
      <c r="M53" s="1">
        <v>27000</v>
      </c>
      <c r="N53" s="7">
        <v>40</v>
      </c>
      <c r="O53" s="25">
        <f>IF(G53="EqCash",1,VLOOKUP($I53,fo_mktlots!$B$1:$C$1000,2,0))</f>
        <v>40</v>
      </c>
      <c r="P53" s="38">
        <f>ROUNDUP(VLOOKUP(K53,Levers!$A$5:$B$12,2,0)*Levers!$B$2,0)</f>
        <v>10000</v>
      </c>
      <c r="Q53" s="82">
        <f t="shared" si="112"/>
        <v>6</v>
      </c>
      <c r="R53" s="5">
        <f>Q53+3</f>
        <v>9</v>
      </c>
      <c r="S53" s="39">
        <f t="shared" si="113"/>
        <v>14400</v>
      </c>
      <c r="T53" s="35" t="str">
        <f t="shared" si="27"/>
        <v>I'm taking higher risk</v>
      </c>
      <c r="U53" s="1">
        <v>27030</v>
      </c>
      <c r="V53" s="27">
        <f t="shared" si="114"/>
        <v>43329</v>
      </c>
      <c r="W53" s="26">
        <f t="shared" si="15"/>
        <v>30</v>
      </c>
      <c r="X53" s="12" t="str">
        <f t="shared" ref="X53:X54" si="117">IF(W53&lt;0,N53/2,"")</f>
        <v/>
      </c>
      <c r="Y53" s="12">
        <f t="shared" ref="Y53:Y54" si="118">IF(W53&gt;0,N53/3,"")</f>
        <v>13.333333333333334</v>
      </c>
      <c r="Z53" s="12">
        <f t="shared" ref="Z53:Z54" si="119">IF(W53&gt;0,W53*2,"")</f>
        <v>60</v>
      </c>
      <c r="AA53" s="7">
        <v>9</v>
      </c>
      <c r="AD53" s="9">
        <f t="shared" si="115"/>
        <v>7200</v>
      </c>
      <c r="AE53" s="29">
        <f t="shared" si="37"/>
        <v>46800</v>
      </c>
      <c r="AF53" s="29">
        <f t="shared" si="38"/>
        <v>4865.3999999999996</v>
      </c>
      <c r="AG53" s="29">
        <f t="shared" si="39"/>
        <v>24.803999999999998</v>
      </c>
      <c r="AH53" s="29">
        <f t="shared" si="40"/>
        <v>40</v>
      </c>
      <c r="AI53" s="87">
        <f t="shared" si="41"/>
        <v>11.664719999999999</v>
      </c>
      <c r="AJ53" s="87">
        <f t="shared" si="42"/>
        <v>7.0199999999999999E-2</v>
      </c>
      <c r="AK53" s="29"/>
      <c r="AL53" s="29">
        <f t="shared" si="43"/>
        <v>0.93600000000000005</v>
      </c>
      <c r="AM53" s="29">
        <f t="shared" si="44"/>
        <v>4942.8749199999993</v>
      </c>
      <c r="AN53" s="115">
        <f t="shared" si="116"/>
        <v>2257.1250800000007</v>
      </c>
      <c r="AO53" s="90">
        <f t="shared" si="89"/>
        <v>279650.26554999995</v>
      </c>
      <c r="AP53" s="19" t="s">
        <v>517</v>
      </c>
      <c r="AQ53" s="19" t="s">
        <v>517</v>
      </c>
      <c r="AS53" s="30">
        <f t="shared" si="90"/>
        <v>0.75</v>
      </c>
      <c r="AT53" s="30">
        <f t="shared" si="91"/>
        <v>1.5</v>
      </c>
      <c r="AU53" s="91">
        <f t="shared" si="24"/>
        <v>0.5</v>
      </c>
    </row>
    <row r="54" spans="1:47">
      <c r="A54" s="1">
        <f t="shared" si="56"/>
        <v>50</v>
      </c>
      <c r="B54" s="10" t="s">
        <v>471</v>
      </c>
      <c r="C54" s="17">
        <f>C53</f>
        <v>43329</v>
      </c>
      <c r="D54" s="44">
        <f t="shared" si="8"/>
        <v>8</v>
      </c>
      <c r="E54" s="44">
        <f t="shared" ref="E54" si="120">WEEKNUM(C54)</f>
        <v>33</v>
      </c>
      <c r="F54" s="31" t="str">
        <f t="shared" ref="F54" si="121">TEXT(C54,"ddd")</f>
        <v>Fri</v>
      </c>
      <c r="G54" s="10" t="s">
        <v>542</v>
      </c>
      <c r="H54" s="10" t="s">
        <v>12</v>
      </c>
      <c r="I54" t="s">
        <v>464</v>
      </c>
      <c r="J54" s="10" t="s">
        <v>0</v>
      </c>
      <c r="K54" s="5" t="s">
        <v>477</v>
      </c>
      <c r="L54" s="7">
        <v>5</v>
      </c>
      <c r="M54" s="1">
        <v>27000</v>
      </c>
      <c r="N54" s="7">
        <v>40</v>
      </c>
      <c r="O54" s="25">
        <f>IF(G54="EqCash",1,VLOOKUP($I54,fo_mktlots!$B$1:$C$1000,2,0))</f>
        <v>40</v>
      </c>
      <c r="P54" s="40">
        <f>ROUNDUP(VLOOKUP(K54,Levers!$A$5:$B$12,2,0)*Levers!$B$2,0)</f>
        <v>10000</v>
      </c>
      <c r="Q54" s="85">
        <f t="shared" ref="Q54" si="122">ROUNDDOWN(P54/(O54*N54),0)</f>
        <v>6</v>
      </c>
      <c r="R54" s="86">
        <f>Q54+3</f>
        <v>9</v>
      </c>
      <c r="S54" s="41">
        <f t="shared" ref="S54" si="123">R54*O54*(N54)</f>
        <v>14400</v>
      </c>
      <c r="T54" s="35" t="str">
        <f t="shared" si="27"/>
        <v>I'm taking higher risk</v>
      </c>
      <c r="U54" s="1">
        <v>27020</v>
      </c>
      <c r="V54" s="27">
        <f t="shared" ref="V54" si="124">IF(H54="Intra",C54,C55)</f>
        <v>43329</v>
      </c>
      <c r="W54" s="26">
        <f t="shared" si="15"/>
        <v>20</v>
      </c>
      <c r="X54" s="12" t="str">
        <f t="shared" si="117"/>
        <v/>
      </c>
      <c r="Y54" s="12">
        <f t="shared" si="118"/>
        <v>13.333333333333334</v>
      </c>
      <c r="Z54" s="12">
        <f t="shared" si="119"/>
        <v>40</v>
      </c>
      <c r="AA54" s="7">
        <v>5</v>
      </c>
      <c r="AD54" s="9">
        <f t="shared" ref="AD54" si="125">IF(J54="Buy",(U54-M54)*O54*Q54,-(U54-M54)*O54*Q54)</f>
        <v>4800</v>
      </c>
      <c r="AE54" s="29">
        <f t="shared" si="37"/>
        <v>43200</v>
      </c>
      <c r="AF54" s="29">
        <f t="shared" si="38"/>
        <v>4863.5999999999995</v>
      </c>
      <c r="AG54" s="29">
        <f t="shared" si="39"/>
        <v>22.896000000000001</v>
      </c>
      <c r="AH54" s="29">
        <f t="shared" si="40"/>
        <v>40</v>
      </c>
      <c r="AI54" s="87">
        <f t="shared" si="41"/>
        <v>11.32128</v>
      </c>
      <c r="AJ54" s="87">
        <f t="shared" si="42"/>
        <v>6.4799999999999996E-2</v>
      </c>
      <c r="AK54" s="29"/>
      <c r="AL54" s="29">
        <f t="shared" si="43"/>
        <v>0.8640000000000001</v>
      </c>
      <c r="AM54" s="29">
        <f t="shared" si="44"/>
        <v>4938.746079999999</v>
      </c>
      <c r="AN54" s="115">
        <f t="shared" ref="AN54" si="126">IFERROR(AD54-AM54,0)</f>
        <v>-138.74607999999898</v>
      </c>
      <c r="AO54" s="90">
        <f t="shared" si="89"/>
        <v>279511.51946999994</v>
      </c>
      <c r="AP54" s="19" t="s">
        <v>517</v>
      </c>
      <c r="AQ54" s="19" t="s">
        <v>517</v>
      </c>
      <c r="AS54" s="30">
        <f t="shared" si="90"/>
        <v>0.5</v>
      </c>
      <c r="AT54" s="30">
        <f t="shared" si="91"/>
        <v>1</v>
      </c>
      <c r="AU54" s="91">
        <f t="shared" si="24"/>
        <v>0.5</v>
      </c>
    </row>
    <row r="55" spans="1:47">
      <c r="A55" s="1">
        <f t="shared" si="56"/>
        <v>51</v>
      </c>
      <c r="C55" s="17"/>
      <c r="D55" s="17"/>
      <c r="E55" s="17"/>
      <c r="Y55" s="88"/>
    </row>
    <row r="56" spans="1:47">
      <c r="C56" s="17"/>
      <c r="Y56" s="88"/>
    </row>
    <row r="57" spans="1:47">
      <c r="C57" s="17"/>
      <c r="Y57" s="88"/>
    </row>
    <row r="58" spans="1:47">
      <c r="C58" s="17"/>
    </row>
    <row r="59" spans="1:47">
      <c r="C59" s="17"/>
    </row>
  </sheetData>
  <mergeCells count="9">
    <mergeCell ref="AS2:AU2"/>
    <mergeCell ref="X2:Z2"/>
    <mergeCell ref="C1:S1"/>
    <mergeCell ref="AP2:AQ2"/>
    <mergeCell ref="P2:Q2"/>
    <mergeCell ref="R2:S2"/>
    <mergeCell ref="AE2:AM2"/>
    <mergeCell ref="AA2:AC2"/>
    <mergeCell ref="X1:AC1"/>
  </mergeCells>
  <conditionalFormatting sqref="AD4:AD15 AN4">
    <cfRule type="colorScale" priority="747">
      <colorScale>
        <cfvo type="formula" val="&quot;&lt;0&quot;"/>
        <cfvo type="formula" val="&quot;&gt;0&quot;"/>
        <color rgb="FFFF0000"/>
        <color rgb="FF92D050"/>
      </colorScale>
    </cfRule>
  </conditionalFormatting>
  <conditionalFormatting sqref="AN4">
    <cfRule type="colorScale" priority="746">
      <colorScale>
        <cfvo type="formula" val="&quot;L3&lt;0&quot;"/>
        <cfvo type="formula" val="&quot;L3&gt;0&quot;"/>
        <color rgb="FFFF7128"/>
        <color rgb="FFFFEF9C"/>
      </colorScale>
    </cfRule>
  </conditionalFormatting>
  <conditionalFormatting sqref="AN4 AD4:AD15">
    <cfRule type="cellIs" dxfId="31" priority="743" operator="lessThan">
      <formula>0</formula>
    </cfRule>
    <cfRule type="cellIs" dxfId="30" priority="744" operator="greaterThan">
      <formula>0</formula>
    </cfRule>
  </conditionalFormatting>
  <conditionalFormatting sqref="AD40">
    <cfRule type="cellIs" dxfId="29" priority="25" operator="lessThan">
      <formula>0</formula>
    </cfRule>
    <cfRule type="cellIs" dxfId="28" priority="26" operator="greaterThan">
      <formula>0</formula>
    </cfRule>
  </conditionalFormatting>
  <conditionalFormatting sqref="AD17:AD27">
    <cfRule type="colorScale" priority="52">
      <colorScale>
        <cfvo type="formula" val="&quot;&lt;0&quot;"/>
        <cfvo type="formula" val="&quot;&gt;0&quot;"/>
        <color rgb="FFFF0000"/>
        <color rgb="FF92D050"/>
      </colorScale>
    </cfRule>
  </conditionalFormatting>
  <conditionalFormatting sqref="AD17:AD27">
    <cfRule type="cellIs" dxfId="27" priority="49" operator="lessThan">
      <formula>0</formula>
    </cfRule>
    <cfRule type="cellIs" dxfId="26" priority="50" operator="greaterThan">
      <formula>0</formula>
    </cfRule>
  </conditionalFormatting>
  <conditionalFormatting sqref="AD29:AD39">
    <cfRule type="colorScale" priority="48">
      <colorScale>
        <cfvo type="formula" val="&quot;&lt;0&quot;"/>
        <cfvo type="formula" val="&quot;&gt;0&quot;"/>
        <color rgb="FFFF0000"/>
        <color rgb="FF92D050"/>
      </colorScale>
    </cfRule>
  </conditionalFormatting>
  <conditionalFormatting sqref="AD29:AD39">
    <cfRule type="cellIs" dxfId="25" priority="45" operator="lessThan">
      <formula>0</formula>
    </cfRule>
    <cfRule type="cellIs" dxfId="24" priority="46" operator="greaterThan">
      <formula>0</formula>
    </cfRule>
  </conditionalFormatting>
  <conditionalFormatting sqref="AD41:AD51">
    <cfRule type="colorScale" priority="44">
      <colorScale>
        <cfvo type="formula" val="&quot;&lt;0&quot;"/>
        <cfvo type="formula" val="&quot;&gt;0&quot;"/>
        <color rgb="FFFF0000"/>
        <color rgb="FF92D050"/>
      </colorScale>
    </cfRule>
  </conditionalFormatting>
  <conditionalFormatting sqref="AD41:AD51">
    <cfRule type="cellIs" dxfId="23" priority="41" operator="lessThan">
      <formula>0</formula>
    </cfRule>
    <cfRule type="cellIs" dxfId="22" priority="42" operator="greaterThan">
      <formula>0</formula>
    </cfRule>
  </conditionalFormatting>
  <conditionalFormatting sqref="AD52:AD54">
    <cfRule type="colorScale" priority="40">
      <colorScale>
        <cfvo type="formula" val="&quot;&lt;0&quot;"/>
        <cfvo type="formula" val="&quot;&gt;0&quot;"/>
        <color rgb="FFFF0000"/>
        <color rgb="FF92D050"/>
      </colorScale>
    </cfRule>
  </conditionalFormatting>
  <conditionalFormatting sqref="AD52:AD54">
    <cfRule type="cellIs" dxfId="21" priority="37" operator="lessThan">
      <formula>0</formula>
    </cfRule>
    <cfRule type="cellIs" dxfId="20" priority="38" operator="greaterThan">
      <formula>0</formula>
    </cfRule>
  </conditionalFormatting>
  <conditionalFormatting sqref="AD16">
    <cfRule type="colorScale" priority="36">
      <colorScale>
        <cfvo type="formula" val="&quot;&lt;0&quot;"/>
        <cfvo type="formula" val="&quot;&gt;0&quot;"/>
        <color rgb="FFFF0000"/>
        <color rgb="FF92D050"/>
      </colorScale>
    </cfRule>
  </conditionalFormatting>
  <conditionalFormatting sqref="AD16">
    <cfRule type="cellIs" dxfId="19" priority="33" operator="lessThan">
      <formula>0</formula>
    </cfRule>
    <cfRule type="cellIs" dxfId="18" priority="34" operator="greaterThan">
      <formula>0</formula>
    </cfRule>
  </conditionalFormatting>
  <conditionalFormatting sqref="AD28">
    <cfRule type="colorScale" priority="32">
      <colorScale>
        <cfvo type="formula" val="&quot;&lt;0&quot;"/>
        <cfvo type="formula" val="&quot;&gt;0&quot;"/>
        <color rgb="FFFF0000"/>
        <color rgb="FF92D050"/>
      </colorScale>
    </cfRule>
  </conditionalFormatting>
  <conditionalFormatting sqref="AD28">
    <cfRule type="cellIs" dxfId="17" priority="29" operator="lessThan">
      <formula>0</formula>
    </cfRule>
    <cfRule type="cellIs" dxfId="16" priority="30" operator="greaterThan">
      <formula>0</formula>
    </cfRule>
  </conditionalFormatting>
  <conditionalFormatting sqref="AD40">
    <cfRule type="colorScale" priority="28">
      <colorScale>
        <cfvo type="formula" val="&quot;&lt;0&quot;"/>
        <cfvo type="formula" val="&quot;&gt;0&quot;"/>
        <color rgb="FFFF0000"/>
        <color rgb="FF92D050"/>
      </colorScale>
    </cfRule>
  </conditionalFormatting>
  <conditionalFormatting sqref="AN5:AN15">
    <cfRule type="colorScale" priority="24">
      <colorScale>
        <cfvo type="formula" val="&quot;&lt;0&quot;"/>
        <cfvo type="formula" val="&quot;&gt;0&quot;"/>
        <color rgb="FFFF0000"/>
        <color rgb="FF92D050"/>
      </colorScale>
    </cfRule>
  </conditionalFormatting>
  <conditionalFormatting sqref="AN5:AN15">
    <cfRule type="cellIs" dxfId="15" priority="22" operator="lessThan">
      <formula>0</formula>
    </cfRule>
    <cfRule type="cellIs" dxfId="14" priority="23" operator="greaterThan">
      <formula>0</formula>
    </cfRule>
  </conditionalFormatting>
  <conditionalFormatting sqref="AN40">
    <cfRule type="cellIs" dxfId="13" priority="1" operator="lessThan">
      <formula>0</formula>
    </cfRule>
    <cfRule type="cellIs" dxfId="12" priority="2" operator="greaterThan">
      <formula>0</formula>
    </cfRule>
  </conditionalFormatting>
  <conditionalFormatting sqref="AN17:AN27">
    <cfRule type="colorScale" priority="21">
      <colorScale>
        <cfvo type="formula" val="&quot;&lt;0&quot;"/>
        <cfvo type="formula" val="&quot;&gt;0&quot;"/>
        <color rgb="FFFF0000"/>
        <color rgb="FF92D050"/>
      </colorScale>
    </cfRule>
  </conditionalFormatting>
  <conditionalFormatting sqref="AN17:AN27">
    <cfRule type="cellIs" dxfId="11" priority="19" operator="lessThan">
      <formula>0</formula>
    </cfRule>
    <cfRule type="cellIs" dxfId="10" priority="20" operator="greaterThan">
      <formula>0</formula>
    </cfRule>
  </conditionalFormatting>
  <conditionalFormatting sqref="AN29:AN39">
    <cfRule type="colorScale" priority="18">
      <colorScale>
        <cfvo type="formula" val="&quot;&lt;0&quot;"/>
        <cfvo type="formula" val="&quot;&gt;0&quot;"/>
        <color rgb="FFFF0000"/>
        <color rgb="FF92D050"/>
      </colorScale>
    </cfRule>
  </conditionalFormatting>
  <conditionalFormatting sqref="AN29:AN39">
    <cfRule type="cellIs" dxfId="9" priority="16" operator="lessThan">
      <formula>0</formula>
    </cfRule>
    <cfRule type="cellIs" dxfId="8" priority="17" operator="greaterThan">
      <formula>0</formula>
    </cfRule>
  </conditionalFormatting>
  <conditionalFormatting sqref="AN41:AN51">
    <cfRule type="colorScale" priority="15">
      <colorScale>
        <cfvo type="formula" val="&quot;&lt;0&quot;"/>
        <cfvo type="formula" val="&quot;&gt;0&quot;"/>
        <color rgb="FFFF0000"/>
        <color rgb="FF92D050"/>
      </colorScale>
    </cfRule>
  </conditionalFormatting>
  <conditionalFormatting sqref="AN41:AN51">
    <cfRule type="cellIs" dxfId="7" priority="13" operator="lessThan">
      <formula>0</formula>
    </cfRule>
    <cfRule type="cellIs" dxfId="6" priority="14" operator="greaterThan">
      <formula>0</formula>
    </cfRule>
  </conditionalFormatting>
  <conditionalFormatting sqref="AN52:AN54">
    <cfRule type="colorScale" priority="12">
      <colorScale>
        <cfvo type="formula" val="&quot;&lt;0&quot;"/>
        <cfvo type="formula" val="&quot;&gt;0&quot;"/>
        <color rgb="FFFF0000"/>
        <color rgb="FF92D050"/>
      </colorScale>
    </cfRule>
  </conditionalFormatting>
  <conditionalFormatting sqref="AN52:AN54">
    <cfRule type="cellIs" dxfId="5" priority="10" operator="lessThan">
      <formula>0</formula>
    </cfRule>
    <cfRule type="cellIs" dxfId="4" priority="11" operator="greaterThan">
      <formula>0</formula>
    </cfRule>
  </conditionalFormatting>
  <conditionalFormatting sqref="AN16">
    <cfRule type="colorScale" priority="9">
      <colorScale>
        <cfvo type="formula" val="&quot;&lt;0&quot;"/>
        <cfvo type="formula" val="&quot;&gt;0&quot;"/>
        <color rgb="FFFF0000"/>
        <color rgb="FF92D050"/>
      </colorScale>
    </cfRule>
  </conditionalFormatting>
  <conditionalFormatting sqref="AN16">
    <cfRule type="cellIs" dxfId="3" priority="7" operator="lessThan">
      <formula>0</formula>
    </cfRule>
    <cfRule type="cellIs" dxfId="2" priority="8" operator="greaterThan">
      <formula>0</formula>
    </cfRule>
  </conditionalFormatting>
  <conditionalFormatting sqref="AN28">
    <cfRule type="colorScale" priority="6">
      <colorScale>
        <cfvo type="formula" val="&quot;&lt;0&quot;"/>
        <cfvo type="formula" val="&quot;&gt;0&quot;"/>
        <color rgb="FFFF0000"/>
        <color rgb="FF92D050"/>
      </colorScale>
    </cfRule>
  </conditionalFormatting>
  <conditionalFormatting sqref="AN28">
    <cfRule type="cellIs" dxfId="1" priority="4" operator="lessThan">
      <formula>0</formula>
    </cfRule>
    <cfRule type="cellIs" dxfId="0" priority="5" operator="greaterThan">
      <formula>0</formula>
    </cfRule>
  </conditionalFormatting>
  <conditionalFormatting sqref="AN40">
    <cfRule type="colorScale" priority="3">
      <colorScale>
        <cfvo type="formula" val="&quot;&lt;0&quot;"/>
        <cfvo type="formula" val="&quot;&gt;0&quot;"/>
        <color rgb="FFFF0000"/>
        <color rgb="FF92D050"/>
      </colorScale>
    </cfRule>
  </conditionalFormatting>
  <hyperlinks>
    <hyperlink ref="O3" r:id="rId1" display="http://widgets.markets.com/en/myaccount/mt4report/?page=1&amp;orderBy=VOLUME&amp;direction=asc&amp;page=2&amp;type=real&amp;product_id=1876967"/>
  </hyperlinks>
  <pageMargins left="0.7" right="0.7" top="0.75" bottom="0.75" header="0.3" footer="0.3"/>
  <pageSetup scale="44" fitToWidth="0" fitToHeight="5"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I65"/>
  <sheetViews>
    <sheetView workbookViewId="0"/>
  </sheetViews>
  <sheetFormatPr defaultRowHeight="15"/>
  <cols>
    <col min="1" max="1" width="2.28515625" customWidth="1"/>
    <col min="2" max="2" width="0.42578125" customWidth="1"/>
    <col min="3" max="3" width="31.7109375" customWidth="1"/>
    <col min="4" max="4" width="12.5703125" bestFit="1" customWidth="1"/>
    <col min="5" max="5" width="11.5703125" bestFit="1" customWidth="1"/>
    <col min="6" max="6" width="10.28515625" bestFit="1" customWidth="1"/>
    <col min="7" max="7" width="2.7109375" customWidth="1"/>
    <col min="8" max="8" width="9.7109375" bestFit="1" customWidth="1"/>
    <col min="9" max="9" width="5.140625" bestFit="1" customWidth="1"/>
    <col min="10" max="10" width="11.28515625" bestFit="1" customWidth="1"/>
    <col min="11" max="11" width="11.5703125" bestFit="1" customWidth="1"/>
    <col min="12" max="12" width="11.28515625" bestFit="1" customWidth="1"/>
    <col min="13" max="13" width="11.5703125" bestFit="1" customWidth="1"/>
    <col min="14" max="14" width="2.5703125" customWidth="1"/>
    <col min="16" max="18" width="11.28515625" bestFit="1" customWidth="1"/>
    <col min="19" max="19" width="12.85546875" bestFit="1" customWidth="1"/>
    <col min="20" max="20" width="1.85546875" customWidth="1"/>
    <col min="22" max="22" width="11.28515625" bestFit="1" customWidth="1"/>
    <col min="23" max="23" width="11.5703125" bestFit="1" customWidth="1"/>
    <col min="24" max="24" width="11.28515625" bestFit="1" customWidth="1"/>
    <col min="25" max="25" width="11.5703125" bestFit="1" customWidth="1"/>
    <col min="26" max="26" width="2.42578125" customWidth="1"/>
    <col min="27" max="27" width="3.140625" hidden="1" customWidth="1"/>
    <col min="28" max="36" width="0" hidden="1" customWidth="1"/>
  </cols>
  <sheetData>
    <row r="2" spans="3:35">
      <c r="C2" s="133" t="s">
        <v>569</v>
      </c>
      <c r="D2" s="134"/>
      <c r="E2" s="134"/>
      <c r="F2" s="135"/>
      <c r="H2" s="130" t="s">
        <v>515</v>
      </c>
      <c r="I2" s="131"/>
      <c r="J2" s="131"/>
      <c r="K2" s="131"/>
      <c r="L2" s="131"/>
      <c r="M2" s="132"/>
      <c r="O2" s="130" t="s">
        <v>513</v>
      </c>
      <c r="P2" s="131"/>
      <c r="Q2" s="131"/>
      <c r="R2" s="131"/>
      <c r="S2" s="132"/>
      <c r="U2" s="130" t="s">
        <v>514</v>
      </c>
      <c r="V2" s="131"/>
      <c r="W2" s="131"/>
      <c r="X2" s="131"/>
      <c r="Y2" s="132"/>
    </row>
    <row r="3" spans="3:35">
      <c r="C3" s="94" t="s">
        <v>557</v>
      </c>
      <c r="D3" s="95" t="s">
        <v>478</v>
      </c>
      <c r="E3" s="95" t="s">
        <v>476</v>
      </c>
      <c r="F3" s="96" t="s">
        <v>477</v>
      </c>
      <c r="H3" s="97" t="s">
        <v>5</v>
      </c>
      <c r="I3" s="98" t="s">
        <v>6</v>
      </c>
      <c r="J3" s="98" t="s">
        <v>478</v>
      </c>
      <c r="K3" s="98" t="s">
        <v>476</v>
      </c>
      <c r="L3" s="98" t="s">
        <v>477</v>
      </c>
      <c r="M3" s="99" t="s">
        <v>4</v>
      </c>
      <c r="O3" s="60" t="s">
        <v>7</v>
      </c>
      <c r="P3" s="56" t="s">
        <v>478</v>
      </c>
      <c r="Q3" s="56" t="s">
        <v>476</v>
      </c>
      <c r="R3" s="56" t="s">
        <v>477</v>
      </c>
      <c r="S3" s="61" t="s">
        <v>4</v>
      </c>
      <c r="U3" s="58" t="s">
        <v>8</v>
      </c>
      <c r="V3" s="57" t="s">
        <v>478</v>
      </c>
      <c r="W3" s="57" t="s">
        <v>476</v>
      </c>
      <c r="X3" s="57" t="s">
        <v>477</v>
      </c>
      <c r="Y3" s="59" t="s">
        <v>4</v>
      </c>
    </row>
    <row r="4" spans="3:35">
      <c r="C4" s="15" t="s">
        <v>24</v>
      </c>
      <c r="D4" s="106">
        <f>IFERROR(SUMIFS('Trade journal'!$AN$5:$AN$5000,'Trade journal'!$K$5:$K$5000,Dashboard!D$3),"")</f>
        <v>35273.870144999993</v>
      </c>
      <c r="E4" s="106">
        <f>IFERROR(SUMIFS('Trade journal'!$AN$5:$AN$5000,'Trade journal'!$K$5:$K$5000,Dashboard!E$3),"")</f>
        <v>193064.61013499994</v>
      </c>
      <c r="F4" s="107">
        <f>IFERROR(SUMIFS('Trade journal'!$AN$5:$AN$5000,'Trade journal'!$K$5:$K$5000,Dashboard!F$3),"")</f>
        <v>51173.03919000001</v>
      </c>
      <c r="H4" s="53">
        <f>'Trade journal'!C5</f>
        <v>43287</v>
      </c>
      <c r="I4" s="45" t="str">
        <f>TEXT(H4,"ddd")</f>
        <v>Fri</v>
      </c>
      <c r="J4" s="11">
        <f>IFERROR(SUMIFS('Trade journal'!$AN$4:$AN$5000,'Trade journal'!$C$4:$C$5000,Dashboard!$H4,'Trade journal'!$K$4:$K$5000,Dashboard!J$3),"")</f>
        <v>0</v>
      </c>
      <c r="K4" s="11">
        <f>IFERROR(SUMIFS('Trade journal'!$AN$4:$AN$5000,'Trade journal'!$C$4:$C$5000,Dashboard!$H4,'Trade journal'!$K$4:$K$5000,Dashboard!K$3),"")</f>
        <v>24352.871449999999</v>
      </c>
      <c r="L4" s="11">
        <f>IFERROR(SUMIFS('Trade journal'!$AN$4:$AN$5000,'Trade journal'!$C$4:$C$5000,Dashboard!$H4,'Trade journal'!$K$4:$K$5000,Dashboard!L$3),"")</f>
        <v>-11291.10528</v>
      </c>
      <c r="M4" s="103">
        <f>SUM(J4:L4)</f>
        <v>13061.766169999999</v>
      </c>
      <c r="O4" s="15">
        <f>WEEKNUM('Trade journal'!C5)</f>
        <v>27</v>
      </c>
      <c r="P4" s="11">
        <f>IFERROR(SUMIFS('Trade journal'!$AN$4:$AN$5000,'Trade journal'!$E$4:$E$5000,Dashboard!$O4,'Trade journal'!$K$4:$K$5000,Dashboard!P$3),"")</f>
        <v>0</v>
      </c>
      <c r="Q4" s="11">
        <f>IFERROR(SUMIFS('Trade journal'!$AN$4:$AN$5000,'Trade journal'!$E$4:$E$5000,Dashboard!$O4,'Trade journal'!$K$4:$K$5000,Dashboard!Q$3),"")</f>
        <v>24352.871449999999</v>
      </c>
      <c r="R4" s="11">
        <f>IFERROR(SUMIFS('Trade journal'!$AN$4:$AN$5000,'Trade journal'!$E$4:$E$5000,Dashboard!$O4,'Trade journal'!$K$4:$K$5000,Dashboard!R$3),"")</f>
        <v>-11291.10528</v>
      </c>
      <c r="S4" s="103">
        <f>SUM(P4:R4)</f>
        <v>13061.766169999999</v>
      </c>
      <c r="U4" s="15">
        <v>7</v>
      </c>
      <c r="V4" s="11">
        <f>IFERROR(SUMIFS('Trade journal'!$AN$4:$AN$5000,'Trade journal'!$D$4:$D$5000,Dashboard!$U4,'Trade journal'!$K$4:$K$5000,Dashboard!V$3),"")</f>
        <v>-54993.968455000009</v>
      </c>
      <c r="W4" s="11">
        <f>IFERROR(SUMIFS('Trade journal'!$AN$4:$AN$5000,'Trade journal'!$D$4:$D$5000,Dashboard!$U4,'Trade journal'!$K$4:$K$5000,Dashboard!W$3),"")</f>
        <v>166860.01885999998</v>
      </c>
      <c r="X4" s="11">
        <f>IFERROR(SUMIFS('Trade journal'!$AN$4:$AN$5000,'Trade journal'!$D$4:$D$5000,Dashboard!$U4,'Trade journal'!$K$4:$K$5000,Dashboard!X$3),"")</f>
        <v>64741.70395000001</v>
      </c>
      <c r="Y4" s="103">
        <f>SUM(V4:X4)</f>
        <v>176607.75435499998</v>
      </c>
      <c r="AB4" s="23" t="s">
        <v>472</v>
      </c>
      <c r="AC4" t="s">
        <v>24</v>
      </c>
      <c r="AE4" s="23" t="s">
        <v>472</v>
      </c>
      <c r="AF4" t="s">
        <v>24</v>
      </c>
      <c r="AH4" s="23" t="s">
        <v>472</v>
      </c>
      <c r="AI4" t="s">
        <v>24</v>
      </c>
    </row>
    <row r="5" spans="3:35">
      <c r="C5" s="15" t="s">
        <v>533</v>
      </c>
      <c r="D5" s="106">
        <f>IFERROR(AVERAGEIFS('Trade journal'!$AN$5:$AN$5000,'Trade journal'!$K$5:$K$5000,Dashboard!D$3),"")</f>
        <v>2519.5621532142854</v>
      </c>
      <c r="E5" s="106">
        <f>IFERROR(AVERAGEIFS('Trade journal'!$AN$5:$AN$5000,'Trade journal'!$K$5:$K$5000,Dashboard!E$3),"")</f>
        <v>11356.741772647056</v>
      </c>
      <c r="F5" s="107">
        <f>IFERROR(AVERAGEIFS('Trade journal'!$AN$5:$AN$5000,'Trade journal'!$K$5:$K$5000,Dashboard!F$3),"")</f>
        <v>2693.3178521052637</v>
      </c>
      <c r="H5" s="53">
        <f>H4+3</f>
        <v>43290</v>
      </c>
      <c r="I5" s="45" t="str">
        <f>TEXT(H5,"ddd")</f>
        <v>Mon</v>
      </c>
      <c r="J5" s="11">
        <f>IFERROR(SUMIFS('Trade journal'!$AN$4:$AN$5000,'Trade journal'!$C$4:$C$5000,Dashboard!$H5,'Trade journal'!$K$4:$K$5000,Dashboard!J$3),"")</f>
        <v>-18455.4202</v>
      </c>
      <c r="K5" s="11">
        <f>IFERROR(SUMIFS('Trade journal'!$AN$4:$AN$5000,'Trade journal'!$C$4:$C$5000,Dashboard!$H5,'Trade journal'!$K$4:$K$5000,Dashboard!K$3),"")</f>
        <v>38165.845999999998</v>
      </c>
      <c r="L5" s="11">
        <f>IFERROR(SUMIFS('Trade journal'!$AN$4:$AN$5000,'Trade journal'!$C$4:$C$5000,Dashboard!$H5,'Trade journal'!$K$4:$K$5000,Dashboard!L$3),"")</f>
        <v>0</v>
      </c>
      <c r="M5" s="103">
        <f t="shared" ref="M5:M65" si="0">SUM(J5:L5)</f>
        <v>19710.425799999997</v>
      </c>
      <c r="O5" s="15">
        <f>O4+1</f>
        <v>28</v>
      </c>
      <c r="P5" s="11">
        <f>IFERROR(SUMIFS('Trade journal'!$AN$4:$AN$5000,'Trade journal'!$E$4:$E$5000,Dashboard!$O5,'Trade journal'!$K$4:$K$5000,Dashboard!P$3),"")</f>
        <v>-39101.786599999999</v>
      </c>
      <c r="Q5" s="11">
        <f>IFERROR(SUMIFS('Trade journal'!$AN$4:$AN$5000,'Trade journal'!$E$4:$E$5000,Dashboard!$O5,'Trade journal'!$K$4:$K$5000,Dashboard!Q$3),"")</f>
        <v>99528.343950000009</v>
      </c>
      <c r="R5" s="11">
        <f>IFERROR(SUMIFS('Trade journal'!$AN$4:$AN$5000,'Trade journal'!$E$4:$E$5000,Dashboard!$O5,'Trade journal'!$K$4:$K$5000,Dashboard!R$3),"")</f>
        <v>-4897.1824900000011</v>
      </c>
      <c r="S5" s="103">
        <f t="shared" ref="S5:S14" si="1">SUM(P5:R5)</f>
        <v>55529.374860000011</v>
      </c>
      <c r="U5" s="15">
        <v>8</v>
      </c>
      <c r="V5" s="11">
        <f>IFERROR(SUMIFS('Trade journal'!$AN$4:$AN$5000,'Trade journal'!$D$4:$D$5000,Dashboard!$U5,'Trade journal'!$K$4:$K$5000,Dashboard!V$3),"")</f>
        <v>90267.838600000003</v>
      </c>
      <c r="W5" s="11">
        <f>IFERROR(SUMIFS('Trade journal'!$AN$4:$AN$5000,'Trade journal'!$D$4:$D$5000,Dashboard!$U5,'Trade journal'!$K$4:$K$5000,Dashboard!W$3),"")</f>
        <v>26204.59127500001</v>
      </c>
      <c r="X5" s="11">
        <f>IFERROR(SUMIFS('Trade journal'!$AN$4:$AN$5000,'Trade journal'!$D$4:$D$5000,Dashboard!$U5,'Trade journal'!$K$4:$K$5000,Dashboard!X$3),"")</f>
        <v>-13568.664760000001</v>
      </c>
      <c r="Y5" s="103">
        <f>SUM(V5:X5)</f>
        <v>102903.76511500002</v>
      </c>
      <c r="AB5" s="51" t="s">
        <v>478</v>
      </c>
      <c r="AE5" s="51" t="s">
        <v>476</v>
      </c>
      <c r="AH5" s="52" t="s">
        <v>477</v>
      </c>
    </row>
    <row r="6" spans="3:35">
      <c r="C6" s="15" t="s">
        <v>535</v>
      </c>
      <c r="D6" s="106">
        <f>DSTDEV('Trade journal'!$K$3:$AN$5000,"Net P/L",Dashboard!AB4:AC5)</f>
        <v>23201.100632967264</v>
      </c>
      <c r="E6" s="106">
        <f>DSTDEV('Trade journal'!$K$3:$AN$5000,"Net P/L",Dashboard!AE4:AF5)</f>
        <v>56009.171274617824</v>
      </c>
      <c r="F6" s="107">
        <f>DSTDEV('Trade journal'!$K$3:$AN$5000,"Net P/L",Dashboard!AH4:AI5)</f>
        <v>18216.667901138306</v>
      </c>
      <c r="H6" s="53">
        <f>H5+1</f>
        <v>43291</v>
      </c>
      <c r="I6" s="45" t="str">
        <f>TEXT(H6,"ddd")</f>
        <v>Tue</v>
      </c>
      <c r="J6" s="11">
        <f>IFERROR(SUMIFS('Trade journal'!$AN$4:$AN$5000,'Trade journal'!$C$4:$C$5000,Dashboard!$H6,'Trade journal'!$K$4:$K$5000,Dashboard!J$3),"")</f>
        <v>0</v>
      </c>
      <c r="K6" s="11">
        <f>IFERROR(SUMIFS('Trade journal'!$AN$4:$AN$5000,'Trade journal'!$C$4:$C$5000,Dashboard!$H6,'Trade journal'!$K$4:$K$5000,Dashboard!K$3),"")</f>
        <v>0</v>
      </c>
      <c r="L6" s="11">
        <f>IFERROR(SUMIFS('Trade journal'!$AN$4:$AN$5000,'Trade journal'!$C$4:$C$5000,Dashboard!$H6,'Trade journal'!$K$4:$K$5000,Dashboard!L$3),"")</f>
        <v>-16003.77225</v>
      </c>
      <c r="M6" s="103">
        <f t="shared" si="0"/>
        <v>-16003.77225</v>
      </c>
      <c r="O6" s="15">
        <f t="shared" ref="O6:O14" si="2">O5+1</f>
        <v>29</v>
      </c>
      <c r="P6" s="11">
        <f>IFERROR(SUMIFS('Trade journal'!$AN$4:$AN$5000,'Trade journal'!$E$4:$E$5000,Dashboard!$O6,'Trade journal'!$K$4:$K$5000,Dashboard!P$3),"")</f>
        <v>-22039.352440000002</v>
      </c>
      <c r="Q6" s="11">
        <f>IFERROR(SUMIFS('Trade journal'!$AN$4:$AN$5000,'Trade journal'!$E$4:$E$5000,Dashboard!$O6,'Trade journal'!$K$4:$K$5000,Dashboard!Q$3),"")</f>
        <v>-76221.254950000002</v>
      </c>
      <c r="R6" s="11">
        <f>IFERROR(SUMIFS('Trade journal'!$AN$4:$AN$5000,'Trade journal'!$E$4:$E$5000,Dashboard!$O6,'Trade journal'!$K$4:$K$5000,Dashboard!R$3),"")</f>
        <v>51674.417660000006</v>
      </c>
      <c r="S6" s="103">
        <f t="shared" si="1"/>
        <v>-46586.189729999998</v>
      </c>
      <c r="U6" s="16">
        <v>9</v>
      </c>
      <c r="V6" s="104">
        <f>IFERROR(SUMIFS('Trade journal'!$AN$4:$AN$5000,'Trade journal'!$D$4:$D$5000,Dashboard!$U6,'Trade journal'!$K$4:$K$5000,Dashboard!V$3),"")</f>
        <v>0</v>
      </c>
      <c r="W6" s="104">
        <f>IFERROR(SUMIFS('Trade journal'!$AN$4:$AN$5000,'Trade journal'!$D$4:$D$5000,Dashboard!$U6,'Trade journal'!$K$4:$K$5000,Dashboard!W$3),"")</f>
        <v>0</v>
      </c>
      <c r="X6" s="104">
        <f>IFERROR(SUMIFS('Trade journal'!$AN$4:$AN$5000,'Trade journal'!$D$4:$D$5000,Dashboard!$U6,'Trade journal'!$K$4:$K$5000,Dashboard!X$3),"")</f>
        <v>0</v>
      </c>
      <c r="Y6" s="105">
        <f>SUM(V6:X6)</f>
        <v>0</v>
      </c>
    </row>
    <row r="7" spans="3:35">
      <c r="C7" s="16" t="s">
        <v>534</v>
      </c>
      <c r="D7" s="108">
        <f>IFERROR(D6/ABS(D5)*100,"")</f>
        <v>920.83859107698061</v>
      </c>
      <c r="E7" s="108">
        <f t="shared" ref="E7:F7" si="3">IFERROR(E6/ABS(E5)*100,"")</f>
        <v>493.1799313207689</v>
      </c>
      <c r="F7" s="109">
        <f t="shared" si="3"/>
        <v>676.36531970777355</v>
      </c>
      <c r="H7" s="53">
        <f>H6+1</f>
        <v>43292</v>
      </c>
      <c r="I7" s="45" t="str">
        <f>TEXT(H7,"ddd")</f>
        <v>Wed</v>
      </c>
      <c r="J7" s="11">
        <f>IFERROR(SUMIFS('Trade journal'!$AN$4:$AN$5000,'Trade journal'!$C$4:$C$5000,Dashboard!$H7,'Trade journal'!$K$4:$K$5000,Dashboard!J$3),"")</f>
        <v>-31878.843000000001</v>
      </c>
      <c r="K7" s="11">
        <f>IFERROR(SUMIFS('Trade journal'!$AN$4:$AN$5000,'Trade journal'!$C$4:$C$5000,Dashboard!$H7,'Trade journal'!$K$4:$K$5000,Dashboard!K$3),"")</f>
        <v>108873.458</v>
      </c>
      <c r="L7" s="11">
        <f>IFERROR(SUMIFS('Trade journal'!$AN$4:$AN$5000,'Trade journal'!$C$4:$C$5000,Dashboard!$H7,'Trade journal'!$K$4:$K$5000,Dashboard!L$3),"")</f>
        <v>0</v>
      </c>
      <c r="M7" s="103">
        <f t="shared" si="0"/>
        <v>76994.614999999991</v>
      </c>
      <c r="O7" s="15">
        <f t="shared" si="2"/>
        <v>30</v>
      </c>
      <c r="P7" s="11">
        <f>IFERROR(SUMIFS('Trade journal'!$AN$4:$AN$5000,'Trade journal'!$E$4:$E$5000,Dashboard!$O7,'Trade journal'!$K$4:$K$5000,Dashboard!P$3),"")</f>
        <v>-4254.0427750000017</v>
      </c>
      <c r="Q7" s="11">
        <f>IFERROR(SUMIFS('Trade journal'!$AN$4:$AN$5000,'Trade journal'!$E$4:$E$5000,Dashboard!$O7,'Trade journal'!$K$4:$K$5000,Dashboard!Q$3),"")</f>
        <v>39074.682809999998</v>
      </c>
      <c r="R7" s="11">
        <f>IFERROR(SUMIFS('Trade journal'!$AN$4:$AN$5000,'Trade journal'!$E$4:$E$5000,Dashboard!$O7,'Trade journal'!$K$4:$K$5000,Dashboard!R$3),"")</f>
        <v>29255.574060000003</v>
      </c>
      <c r="S7" s="103">
        <f t="shared" si="1"/>
        <v>64076.214095000003</v>
      </c>
    </row>
    <row r="8" spans="3:35">
      <c r="H8" s="53">
        <f>H7+1</f>
        <v>43293</v>
      </c>
      <c r="I8" s="45" t="str">
        <f t="shared" ref="I8:I10" si="4">TEXT(H8,"ddd")</f>
        <v>Thu</v>
      </c>
      <c r="J8" s="11">
        <f>IFERROR(SUMIFS('Trade journal'!$AN$4:$AN$5000,'Trade journal'!$C$4:$C$5000,Dashboard!$H8,'Trade journal'!$K$4:$K$5000,Dashboard!J$3),"")</f>
        <v>0</v>
      </c>
      <c r="K8" s="11">
        <f>IFERROR(SUMIFS('Trade journal'!$AN$4:$AN$5000,'Trade journal'!$C$4:$C$5000,Dashboard!$H8,'Trade journal'!$K$4:$K$5000,Dashboard!K$3),"")</f>
        <v>0</v>
      </c>
      <c r="L8" s="11">
        <f>IFERROR(SUMIFS('Trade journal'!$AN$4:$AN$5000,'Trade journal'!$C$4:$C$5000,Dashboard!$H8,'Trade journal'!$K$4:$K$5000,Dashboard!L$3),"")</f>
        <v>11106.589759999999</v>
      </c>
      <c r="M8" s="103">
        <f t="shared" si="0"/>
        <v>11106.589759999999</v>
      </c>
      <c r="O8" s="15">
        <f t="shared" si="2"/>
        <v>31</v>
      </c>
      <c r="P8" s="11">
        <f>IFERROR(SUMIFS('Trade journal'!$AN$4:$AN$5000,'Trade journal'!$E$4:$E$5000,Dashboard!$O8,'Trade journal'!$K$4:$K$5000,Dashboard!P$3),"")</f>
        <v>37644.040359999999</v>
      </c>
      <c r="Q8" s="11">
        <f>IFERROR(SUMIFS('Trade journal'!$AN$4:$AN$5000,'Trade journal'!$E$4:$E$5000,Dashboard!$O8,'Trade journal'!$K$4:$K$5000,Dashboard!Q$3),"")</f>
        <v>93542.586349999998</v>
      </c>
      <c r="R8" s="11">
        <f>IFERROR(SUMIFS('Trade journal'!$AN$4:$AN$5000,'Trade journal'!$E$4:$E$5000,Dashboard!$O8,'Trade journal'!$K$4:$K$5000,Dashboard!R$3),"")</f>
        <v>-24833.634739999998</v>
      </c>
      <c r="S8" s="103">
        <f t="shared" si="1"/>
        <v>106352.99196999999</v>
      </c>
    </row>
    <row r="9" spans="3:35">
      <c r="C9" s="94" t="s">
        <v>560</v>
      </c>
      <c r="D9" s="95"/>
      <c r="E9" s="95"/>
      <c r="F9" s="96"/>
      <c r="H9" s="53">
        <f>H8+1</f>
        <v>43294</v>
      </c>
      <c r="I9" s="45" t="str">
        <f t="shared" si="4"/>
        <v>Fri</v>
      </c>
      <c r="J9" s="11">
        <f>IFERROR(SUMIFS('Trade journal'!$AN$4:$AN$5000,'Trade journal'!$C$4:$C$5000,Dashboard!$H9,'Trade journal'!$K$4:$K$5000,Dashboard!J$3),"")</f>
        <v>11232.4766</v>
      </c>
      <c r="K9" s="11">
        <f>IFERROR(SUMIFS('Trade journal'!$AN$4:$AN$5000,'Trade journal'!$C$4:$C$5000,Dashboard!$H9,'Trade journal'!$K$4:$K$5000,Dashboard!K$3),"")</f>
        <v>-47510.960050000002</v>
      </c>
      <c r="L9" s="11">
        <f>IFERROR(SUMIFS('Trade journal'!$AN$4:$AN$5000,'Trade journal'!$C$4:$C$5000,Dashboard!$H9,'Trade journal'!$K$4:$K$5000,Dashboard!L$3),"")</f>
        <v>0</v>
      </c>
      <c r="M9" s="103">
        <f t="shared" si="0"/>
        <v>-36278.48345</v>
      </c>
      <c r="O9" s="15">
        <f>O8+1</f>
        <v>32</v>
      </c>
      <c r="P9" s="11">
        <f>IFERROR(SUMIFS('Trade journal'!$AN$4:$AN$5000,'Trade journal'!$E$4:$E$5000,Dashboard!$O9,'Trade journal'!$K$4:$K$5000,Dashboard!P$3),"")</f>
        <v>21583.667600000001</v>
      </c>
      <c r="Q9" s="11">
        <f>IFERROR(SUMIFS('Trade journal'!$AN$4:$AN$5000,'Trade journal'!$E$4:$E$5000,Dashboard!$O9,'Trade journal'!$K$4:$K$5000,Dashboard!Q$3),"")</f>
        <v>56766.605224999992</v>
      </c>
      <c r="R9" s="11">
        <f>IFERROR(SUMIFS('Trade journal'!$AN$4:$AN$5000,'Trade journal'!$E$4:$E$5000,Dashboard!$O9,'Trade journal'!$K$4:$K$5000,Dashboard!R$3),"")</f>
        <v>-21152.08208</v>
      </c>
      <c r="S9" s="103">
        <f t="shared" si="1"/>
        <v>57198.190744999993</v>
      </c>
    </row>
    <row r="10" spans="3:35">
      <c r="C10" s="15" t="s">
        <v>509</v>
      </c>
      <c r="D10" s="106">
        <f>COUNTIF('Trade journal'!$K$5:$K$5000,Dashboard!D$3)</f>
        <v>14</v>
      </c>
      <c r="E10" s="106">
        <f>COUNTIF('Trade journal'!$K$5:$K$5000,Dashboard!E$3)</f>
        <v>17</v>
      </c>
      <c r="F10" s="107">
        <f>COUNTIF('Trade journal'!$K$5:$K$5000,Dashboard!F$3)</f>
        <v>19</v>
      </c>
      <c r="H10" s="53">
        <f>H9+3</f>
        <v>43297</v>
      </c>
      <c r="I10" s="45" t="str">
        <f t="shared" si="4"/>
        <v>Mon</v>
      </c>
      <c r="J10" s="11">
        <f>IFERROR(SUMIFS('Trade journal'!$AN$4:$AN$5000,'Trade journal'!$C$4:$C$5000,Dashboard!$H10,'Trade journal'!$K$4:$K$5000,Dashboard!J$3),"")</f>
        <v>0</v>
      </c>
      <c r="K10" s="11">
        <f>IFERROR(SUMIFS('Trade journal'!$AN$4:$AN$5000,'Trade journal'!$C$4:$C$5000,Dashboard!$H10,'Trade journal'!$K$4:$K$5000,Dashboard!K$3),"")</f>
        <v>0</v>
      </c>
      <c r="L10" s="11">
        <f>IFERROR(SUMIFS('Trade journal'!$AN$4:$AN$5000,'Trade journal'!$C$4:$C$5000,Dashboard!$H10,'Trade journal'!$K$4:$K$5000,Dashboard!L$3),"")</f>
        <v>4514.2501600000014</v>
      </c>
      <c r="M10" s="103">
        <f t="shared" si="0"/>
        <v>4514.2501600000014</v>
      </c>
      <c r="O10" s="15">
        <f t="shared" si="2"/>
        <v>33</v>
      </c>
      <c r="P10" s="11">
        <f>IFERROR(SUMIFS('Trade journal'!$AN$4:$AN$5000,'Trade journal'!$E$4:$E$5000,Dashboard!$O10,'Trade journal'!$K$4:$K$5000,Dashboard!P$3),"")</f>
        <v>41441.344000000005</v>
      </c>
      <c r="Q10" s="11">
        <f>IFERROR(SUMIFS('Trade journal'!$AN$4:$AN$5000,'Trade journal'!$E$4:$E$5000,Dashboard!$O10,'Trade journal'!$K$4:$K$5000,Dashboard!Q$3),"")</f>
        <v>-43979.224699999999</v>
      </c>
      <c r="R10" s="11">
        <f>IFERROR(SUMIFS('Trade journal'!$AN$4:$AN$5000,'Trade journal'!$E$4:$E$5000,Dashboard!$O10,'Trade journal'!$K$4:$K$5000,Dashboard!R$3),"")</f>
        <v>32417.052060000002</v>
      </c>
      <c r="S10" s="103">
        <f t="shared" si="1"/>
        <v>29879.171360000008</v>
      </c>
    </row>
    <row r="11" spans="3:35">
      <c r="C11" s="15" t="s">
        <v>501</v>
      </c>
      <c r="D11" s="106">
        <f>COUNTIFS('Trade journal'!$AN$5:$AN$5000,"&gt;0",'Trade journal'!$K$5:$K$5000,Dashboard!D$3)</f>
        <v>8</v>
      </c>
      <c r="E11" s="106">
        <f>COUNTIFS('Trade journal'!$AN$5:$AN$5000,"&gt;0",'Trade journal'!$K$5:$K$5000,Dashboard!E$3)</f>
        <v>10</v>
      </c>
      <c r="F11" s="107">
        <f>COUNTIFS('Trade journal'!$AN$5:$AN$5000,"&gt;0",'Trade journal'!$K$5:$K$5000,Dashboard!F$3)</f>
        <v>12</v>
      </c>
      <c r="H11" s="53">
        <f>H10+1</f>
        <v>43298</v>
      </c>
      <c r="I11" s="45" t="str">
        <f>TEXT(H11,"ddd")</f>
        <v>Tue</v>
      </c>
      <c r="J11" s="11">
        <f>IFERROR(SUMIFS('Trade journal'!$AN$4:$AN$5000,'Trade journal'!$C$4:$C$5000,Dashboard!$H11,'Trade journal'!$K$4:$K$5000,Dashboard!J$3),"")</f>
        <v>0</v>
      </c>
      <c r="K11" s="11">
        <f>IFERROR(SUMIFS('Trade journal'!$AN$4:$AN$5000,'Trade journal'!$C$4:$C$5000,Dashboard!$H11,'Trade journal'!$K$4:$K$5000,Dashboard!K$3),"")</f>
        <v>24352.871449999999</v>
      </c>
      <c r="L11" s="11">
        <f>IFERROR(SUMIFS('Trade journal'!$AN$4:$AN$5000,'Trade journal'!$C$4:$C$5000,Dashboard!$H11,'Trade journal'!$K$4:$K$5000,Dashboard!L$3),"")</f>
        <v>0</v>
      </c>
      <c r="M11" s="103">
        <f t="shared" si="0"/>
        <v>24352.871449999999</v>
      </c>
      <c r="O11" s="15">
        <f t="shared" si="2"/>
        <v>34</v>
      </c>
      <c r="P11" s="11">
        <f>IFERROR(SUMIFS('Trade journal'!$AN$4:$AN$5000,'Trade journal'!$E$4:$E$5000,Dashboard!$O11,'Trade journal'!$K$4:$K$5000,Dashboard!P$3),"")</f>
        <v>0</v>
      </c>
      <c r="Q11" s="11">
        <f>IFERROR(SUMIFS('Trade journal'!$AN$4:$AN$5000,'Trade journal'!$E$4:$E$5000,Dashboard!$O11,'Trade journal'!$K$4:$K$5000,Dashboard!Q$3),"")</f>
        <v>0</v>
      </c>
      <c r="R11" s="11">
        <f>IFERROR(SUMIFS('Trade journal'!$AN$4:$AN$5000,'Trade journal'!$E$4:$E$5000,Dashboard!$O11,'Trade journal'!$K$4:$K$5000,Dashboard!R$3),"")</f>
        <v>0</v>
      </c>
      <c r="S11" s="103">
        <f t="shared" si="1"/>
        <v>0</v>
      </c>
    </row>
    <row r="12" spans="3:35">
      <c r="C12" s="15" t="s">
        <v>502</v>
      </c>
      <c r="D12" s="110">
        <f>D11/D10</f>
        <v>0.5714285714285714</v>
      </c>
      <c r="E12" s="110">
        <f>E11/E10</f>
        <v>0.58823529411764708</v>
      </c>
      <c r="F12" s="111">
        <f>F11/F10</f>
        <v>0.63157894736842102</v>
      </c>
      <c r="H12" s="53">
        <f>H11+1</f>
        <v>43299</v>
      </c>
      <c r="I12" s="45" t="str">
        <f>TEXT(H12,"ddd")</f>
        <v>Wed</v>
      </c>
      <c r="J12" s="11">
        <f>IFERROR(SUMIFS('Trade journal'!$AN$4:$AN$5000,'Trade journal'!$C$4:$C$5000,Dashboard!$H12,'Trade journal'!$K$4:$K$5000,Dashboard!J$3),"")</f>
        <v>-22124.034240000001</v>
      </c>
      <c r="K12" s="11">
        <f>IFERROR(SUMIFS('Trade journal'!$AN$4:$AN$5000,'Trade journal'!$C$4:$C$5000,Dashboard!$H12,'Trade journal'!$K$4:$K$5000,Dashboard!K$3),"")</f>
        <v>-36863.640399999997</v>
      </c>
      <c r="L12" s="11">
        <f>IFERROR(SUMIFS('Trade journal'!$AN$4:$AN$5000,'Trade journal'!$C$4:$C$5000,Dashboard!$H12,'Trade journal'!$K$4:$K$5000,Dashboard!L$3),"")</f>
        <v>0</v>
      </c>
      <c r="M12" s="103">
        <f t="shared" si="0"/>
        <v>-58987.674639999997</v>
      </c>
      <c r="O12" s="15">
        <f t="shared" si="2"/>
        <v>35</v>
      </c>
      <c r="P12" s="11">
        <f>IFERROR(SUMIFS('Trade journal'!$AN$4:$AN$5000,'Trade journal'!$E$4:$E$5000,Dashboard!$O12,'Trade journal'!$K$4:$K$5000,Dashboard!P$3),"")</f>
        <v>0</v>
      </c>
      <c r="Q12" s="11">
        <f>IFERROR(SUMIFS('Trade journal'!$AN$4:$AN$5000,'Trade journal'!$E$4:$E$5000,Dashboard!$O12,'Trade journal'!$K$4:$K$5000,Dashboard!Q$3),"")</f>
        <v>0</v>
      </c>
      <c r="R12" s="11">
        <f>IFERROR(SUMIFS('Trade journal'!$AN$4:$AN$5000,'Trade journal'!$E$4:$E$5000,Dashboard!$O12,'Trade journal'!$K$4:$K$5000,Dashboard!R$3),"")</f>
        <v>0</v>
      </c>
      <c r="S12" s="103">
        <f t="shared" si="1"/>
        <v>0</v>
      </c>
    </row>
    <row r="13" spans="3:35">
      <c r="C13" s="15" t="s">
        <v>503</v>
      </c>
      <c r="D13" s="106">
        <f>IFERROR(AVERAGEIFS('Trade journal'!$AN$5:$AN$5000,'Trade journal'!$AN$5:$AN$5000,"&gt;0",'Trade journal'!$K$5:$K$5000,Dashboard!D$3),"")</f>
        <v>19217.099000000002</v>
      </c>
      <c r="E13" s="106">
        <f>IFERROR(AVERAGEIFS('Trade journal'!$AN$5:$AN$5000,'Trade journal'!$AN$5:$AN$5000,"&gt;0",'Trade journal'!$K$5:$K$5000,Dashboard!E$3),"")</f>
        <v>49635.036733500005</v>
      </c>
      <c r="F13" s="107">
        <f>IFERROR(AVERAGEIFS('Trade journal'!$AN$5:$AN$5000,'Trade journal'!$AN$5:$AN$5000,"&gt;0",'Trade journal'!$K$5:$K$5000,Dashboard!F$3),"")</f>
        <v>12836.578504999999</v>
      </c>
      <c r="H13" s="53">
        <f>H12+1</f>
        <v>43300</v>
      </c>
      <c r="I13" s="45" t="str">
        <f t="shared" ref="I13:I15" si="5">TEXT(H13,"ddd")</f>
        <v>Thu</v>
      </c>
      <c r="J13" s="11">
        <f>IFERROR(SUMIFS('Trade journal'!$AN$4:$AN$5000,'Trade journal'!$C$4:$C$5000,Dashboard!$H13,'Trade journal'!$K$4:$K$5000,Dashboard!J$3),"")</f>
        <v>0</v>
      </c>
      <c r="K13" s="11">
        <f>IFERROR(SUMIFS('Trade journal'!$AN$4:$AN$5000,'Trade journal'!$C$4:$C$5000,Dashboard!$H13,'Trade journal'!$K$4:$K$5000,Dashboard!K$3),"")</f>
        <v>0</v>
      </c>
      <c r="L13" s="11">
        <f>IFERROR(SUMIFS('Trade journal'!$AN$4:$AN$5000,'Trade journal'!$C$4:$C$5000,Dashboard!$H13,'Trade journal'!$K$4:$K$5000,Dashboard!L$3),"")</f>
        <v>47160.167500000003</v>
      </c>
      <c r="M13" s="103">
        <f t="shared" si="0"/>
        <v>47160.167500000003</v>
      </c>
      <c r="O13" s="15">
        <f t="shared" si="2"/>
        <v>36</v>
      </c>
      <c r="P13" s="11">
        <f>IFERROR(SUMIFS('Trade journal'!$AN$4:$AN$5000,'Trade journal'!$E$4:$E$5000,Dashboard!$O13,'Trade journal'!$K$4:$K$5000,Dashboard!P$3),"")</f>
        <v>0</v>
      </c>
      <c r="Q13" s="11">
        <f>IFERROR(SUMIFS('Trade journal'!$AN$4:$AN$5000,'Trade journal'!$E$4:$E$5000,Dashboard!$O13,'Trade journal'!$K$4:$K$5000,Dashboard!Q$3),"")</f>
        <v>0</v>
      </c>
      <c r="R13" s="11">
        <f>IFERROR(SUMIFS('Trade journal'!$AN$4:$AN$5000,'Trade journal'!$E$4:$E$5000,Dashboard!$O13,'Trade journal'!$K$4:$K$5000,Dashboard!R$3),"")</f>
        <v>0</v>
      </c>
      <c r="S13" s="103">
        <f t="shared" si="1"/>
        <v>0</v>
      </c>
    </row>
    <row r="14" spans="3:35">
      <c r="C14" s="15" t="s">
        <v>504</v>
      </c>
      <c r="D14" s="106">
        <f>IFERROR(SUMIFS('Trade journal'!$AN$5:$AN$5000,'Trade journal'!$AN$5:$AN$5000,"&gt;0",'Trade journal'!$K$5:$K$5000,Dashboard!D$3),"")</f>
        <v>153736.79200000002</v>
      </c>
      <c r="E14" s="106">
        <f>IFERROR(SUMIFS('Trade journal'!$AN$5:$AN$5000,'Trade journal'!$AN$5:$AN$5000,"&gt;0",'Trade journal'!$K$5:$K$5000,Dashboard!E$3),"")</f>
        <v>496350.36733500002</v>
      </c>
      <c r="F14" s="107">
        <f>IFERROR(SUMIFS('Trade journal'!$AN$5:$AN$5000,'Trade journal'!$AN$5:$AN$5000,"&gt;0",'Trade journal'!$K$5:$K$5000,Dashboard!F$3),"")</f>
        <v>154038.94206</v>
      </c>
      <c r="H14" s="53">
        <f>H13+1</f>
        <v>43301</v>
      </c>
      <c r="I14" s="45" t="str">
        <f t="shared" si="5"/>
        <v>Fri</v>
      </c>
      <c r="J14" s="11">
        <f>IFERROR(SUMIFS('Trade journal'!$AN$4:$AN$5000,'Trade journal'!$C$4:$C$5000,Dashboard!$H14,'Trade journal'!$K$4:$K$5000,Dashboard!J$3),"")</f>
        <v>84.681800000000294</v>
      </c>
      <c r="K14" s="11">
        <f>IFERROR(SUMIFS('Trade journal'!$AN$4:$AN$5000,'Trade journal'!$C$4:$C$5000,Dashboard!$H14,'Trade journal'!$K$4:$K$5000,Dashboard!K$3),"")</f>
        <v>-63710.486000000004</v>
      </c>
      <c r="L14" s="11">
        <f>IFERROR(SUMIFS('Trade journal'!$AN$4:$AN$5000,'Trade journal'!$C$4:$C$5000,Dashboard!$H14,'Trade journal'!$K$4:$K$5000,Dashboard!L$3),"")</f>
        <v>0</v>
      </c>
      <c r="M14" s="103">
        <f t="shared" si="0"/>
        <v>-63625.804200000006</v>
      </c>
      <c r="O14" s="16">
        <f t="shared" si="2"/>
        <v>37</v>
      </c>
      <c r="P14" s="104">
        <f>IFERROR(SUMIFS('Trade journal'!$AN$4:$AN$5000,'Trade journal'!$E$4:$E$5000,Dashboard!$O14,'Trade journal'!$K$4:$K$5000,Dashboard!P$3),"")</f>
        <v>0</v>
      </c>
      <c r="Q14" s="104">
        <f>IFERROR(SUMIFS('Trade journal'!$AN$4:$AN$5000,'Trade journal'!$E$4:$E$5000,Dashboard!$O14,'Trade journal'!$K$4:$K$5000,Dashboard!Q$3),"")</f>
        <v>0</v>
      </c>
      <c r="R14" s="104">
        <f>IFERROR(SUMIFS('Trade journal'!$AN$4:$AN$5000,'Trade journal'!$E$4:$E$5000,Dashboard!$O14,'Trade journal'!$K$4:$K$5000,Dashboard!R$3),"")</f>
        <v>0</v>
      </c>
      <c r="S14" s="105">
        <f t="shared" si="1"/>
        <v>0</v>
      </c>
    </row>
    <row r="15" spans="3:35">
      <c r="C15" s="15" t="s">
        <v>505</v>
      </c>
      <c r="D15" s="106">
        <f>D10-D11</f>
        <v>6</v>
      </c>
      <c r="E15" s="106">
        <f>E10-E11</f>
        <v>7</v>
      </c>
      <c r="F15" s="107">
        <f>F10-F11</f>
        <v>7</v>
      </c>
      <c r="H15" s="53">
        <f>H14+3</f>
        <v>43304</v>
      </c>
      <c r="I15" s="45" t="str">
        <f t="shared" si="5"/>
        <v>Mon</v>
      </c>
      <c r="J15" s="11">
        <f>IFERROR(SUMIFS('Trade journal'!$AN$4:$AN$5000,'Trade journal'!$C$4:$C$5000,Dashboard!$H15,'Trade journal'!$K$4:$K$5000,Dashboard!J$3),"")</f>
        <v>0</v>
      </c>
      <c r="K15" s="11">
        <f>IFERROR(SUMIFS('Trade journal'!$AN$4:$AN$5000,'Trade journal'!$C$4:$C$5000,Dashboard!$H15,'Trade journal'!$K$4:$K$5000,Dashboard!K$3),"")</f>
        <v>0</v>
      </c>
      <c r="L15" s="11">
        <f>IFERROR(SUMIFS('Trade journal'!$AN$4:$AN$5000,'Trade journal'!$C$4:$C$5000,Dashboard!$H15,'Trade journal'!$K$4:$K$5000,Dashboard!L$3),"")</f>
        <v>38289.554260000004</v>
      </c>
      <c r="M15" s="103">
        <f t="shared" si="0"/>
        <v>38289.554260000004</v>
      </c>
    </row>
    <row r="16" spans="3:35">
      <c r="C16" s="15" t="s">
        <v>506</v>
      </c>
      <c r="D16" s="110">
        <f>D15/D10</f>
        <v>0.42857142857142855</v>
      </c>
      <c r="E16" s="110">
        <f>E15/E10</f>
        <v>0.41176470588235292</v>
      </c>
      <c r="F16" s="111">
        <f>F15/F10</f>
        <v>0.36842105263157893</v>
      </c>
      <c r="H16" s="53">
        <f>H15+1</f>
        <v>43305</v>
      </c>
      <c r="I16" s="45" t="str">
        <f>TEXT(H16,"ddd")</f>
        <v>Tue</v>
      </c>
      <c r="J16" s="11">
        <f>IFERROR(SUMIFS('Trade journal'!$AN$4:$AN$5000,'Trade journal'!$C$4:$C$5000,Dashboard!$H16,'Trade journal'!$K$4:$K$5000,Dashboard!J$3),"")</f>
        <v>19237.6518</v>
      </c>
      <c r="K16" s="11">
        <f>IFERROR(SUMIFS('Trade journal'!$AN$4:$AN$5000,'Trade journal'!$C$4:$C$5000,Dashboard!$H16,'Trade journal'!$K$4:$K$5000,Dashboard!K$3),"")</f>
        <v>0</v>
      </c>
      <c r="L16" s="11">
        <f>IFERROR(SUMIFS('Trade journal'!$AN$4:$AN$5000,'Trade journal'!$C$4:$C$5000,Dashboard!$H16,'Trade journal'!$K$4:$K$5000,Dashboard!L$3),"")</f>
        <v>0</v>
      </c>
      <c r="M16" s="103">
        <f t="shared" si="0"/>
        <v>19237.6518</v>
      </c>
    </row>
    <row r="17" spans="2:13">
      <c r="C17" s="15" t="s">
        <v>507</v>
      </c>
      <c r="D17" s="106">
        <f>IFERROR(AVERAGEIFS('Trade journal'!$AN$5:$AN$5000,'Trade journal'!$AN$5:$AN$5000,"&lt;=0",'Trade journal'!$K$5:$K$5000,Dashboard!D$3),"")</f>
        <v>-19743.820309166666</v>
      </c>
      <c r="E17" s="106">
        <f>IFERROR(AVERAGEIFS('Trade journal'!$AN$5:$AN$5000,'Trade journal'!$AN$5:$AN$5000,"&lt;=0",'Trade journal'!$K$5:$K$5000,Dashboard!E$3),"")</f>
        <v>-43326.536742857141</v>
      </c>
      <c r="F17" s="107">
        <f>IFERROR(AVERAGEIFS('Trade journal'!$AN$5:$AN$5000,'Trade journal'!$AN$5:$AN$5000,"&lt;=0",'Trade journal'!$K$5:$K$5000,Dashboard!F$3),"")</f>
        <v>-14695.12898142857</v>
      </c>
      <c r="H17" s="53">
        <f>H16+1</f>
        <v>43306</v>
      </c>
      <c r="I17" s="45" t="str">
        <f>TEXT(H17,"ddd")</f>
        <v>Wed</v>
      </c>
      <c r="J17" s="11">
        <f>IFERROR(SUMIFS('Trade journal'!$AN$4:$AN$5000,'Trade journal'!$C$4:$C$5000,Dashboard!$H17,'Trade journal'!$K$4:$K$5000,Dashboard!J$3),"")</f>
        <v>-23491.694575000001</v>
      </c>
      <c r="K17" s="11">
        <f>IFERROR(SUMIFS('Trade journal'!$AN$4:$AN$5000,'Trade journal'!$C$4:$C$5000,Dashboard!$H17,'Trade journal'!$K$4:$K$5000,Dashboard!K$3),"")</f>
        <v>14721.81136</v>
      </c>
      <c r="L17" s="11">
        <f>IFERROR(SUMIFS('Trade journal'!$AN$4:$AN$5000,'Trade journal'!$C$4:$C$5000,Dashboard!$H17,'Trade journal'!$K$4:$K$5000,Dashboard!L$3),"")</f>
        <v>0</v>
      </c>
      <c r="M17" s="103">
        <f t="shared" si="0"/>
        <v>-8769.8832150000017</v>
      </c>
    </row>
    <row r="18" spans="2:13">
      <c r="C18" s="15" t="s">
        <v>508</v>
      </c>
      <c r="D18" s="106">
        <f>IFERROR(SUMIFS('Trade journal'!$AN$5:$AN$5000,'Trade journal'!$AN$5:$AN$5000,"&lt;=0",'Trade journal'!$K$5:$K$5000,Dashboard!D$3),"")</f>
        <v>-118462.92185499999</v>
      </c>
      <c r="E18" s="106">
        <f>IFERROR(SUMIFS('Trade journal'!$AN$5:$AN$5000,'Trade journal'!$AN$5:$AN$5000,"&lt;=0",'Trade journal'!$K$5:$K$5000,Dashboard!E$3),"")</f>
        <v>-303285.75719999999</v>
      </c>
      <c r="F18" s="107">
        <f>IFERROR(SUMIFS('Trade journal'!$AN$5:$AN$5000,'Trade journal'!$AN$5:$AN$5000,"&lt;=0",'Trade journal'!$K$5:$K$5000,Dashboard!F$3),"")</f>
        <v>-102865.90286999999</v>
      </c>
      <c r="H18" s="53">
        <f>H17+1</f>
        <v>43307</v>
      </c>
      <c r="I18" s="45" t="str">
        <f t="shared" ref="I18:I20" si="6">TEXT(H18,"ddd")</f>
        <v>Thu</v>
      </c>
      <c r="J18" s="11">
        <f>IFERROR(SUMIFS('Trade journal'!$AN$4:$AN$5000,'Trade journal'!$C$4:$C$5000,Dashboard!$H18,'Trade journal'!$K$4:$K$5000,Dashboard!J$3),"")</f>
        <v>0</v>
      </c>
      <c r="K18" s="11">
        <f>IFERROR(SUMIFS('Trade journal'!$AN$4:$AN$5000,'Trade journal'!$C$4:$C$5000,Dashboard!$H18,'Trade journal'!$K$4:$K$5000,Dashboard!K$3),"")</f>
        <v>0</v>
      </c>
      <c r="L18" s="11">
        <f>IFERROR(SUMIFS('Trade journal'!$AN$4:$AN$5000,'Trade journal'!$C$4:$C$5000,Dashboard!$H18,'Trade journal'!$K$4:$K$5000,Dashboard!L$3),"")</f>
        <v>2257.1250800000007</v>
      </c>
      <c r="M18" s="103">
        <f t="shared" si="0"/>
        <v>2257.1250800000007</v>
      </c>
    </row>
    <row r="19" spans="2:13">
      <c r="C19" s="15"/>
      <c r="D19" s="106"/>
      <c r="E19" s="106"/>
      <c r="F19" s="107"/>
      <c r="H19" s="53">
        <f>H18+1</f>
        <v>43308</v>
      </c>
      <c r="I19" s="45" t="str">
        <f t="shared" si="6"/>
        <v>Fri</v>
      </c>
      <c r="J19" s="11">
        <f>IFERROR(SUMIFS('Trade journal'!$AN$4:$AN$5000,'Trade journal'!$C$4:$C$5000,Dashboard!$H19,'Trade journal'!$K$4:$K$5000,Dashboard!J$3),"")</f>
        <v>0</v>
      </c>
      <c r="K19" s="11">
        <f>IFERROR(SUMIFS('Trade journal'!$AN$4:$AN$5000,'Trade journal'!$C$4:$C$5000,Dashboard!$H19,'Trade journal'!$K$4:$K$5000,Dashboard!K$3),"")</f>
        <v>24352.871449999999</v>
      </c>
      <c r="L19" s="11">
        <f>IFERROR(SUMIFS('Trade journal'!$AN$4:$AN$5000,'Trade journal'!$C$4:$C$5000,Dashboard!$H19,'Trade journal'!$K$4:$K$5000,Dashboard!L$3),"")</f>
        <v>-11291.10528</v>
      </c>
      <c r="M19" s="103">
        <f t="shared" si="0"/>
        <v>13061.766169999999</v>
      </c>
    </row>
    <row r="20" spans="2:13">
      <c r="C20" s="21" t="s">
        <v>24</v>
      </c>
      <c r="D20" s="112">
        <f>D14+D18</f>
        <v>35273.870145000023</v>
      </c>
      <c r="E20" s="112">
        <f>E14+E18</f>
        <v>193064.61013500002</v>
      </c>
      <c r="F20" s="113">
        <f>F14+F18</f>
        <v>51173.03919000001</v>
      </c>
      <c r="H20" s="53">
        <f>H19+3</f>
        <v>43311</v>
      </c>
      <c r="I20" s="45" t="str">
        <f t="shared" si="6"/>
        <v>Mon</v>
      </c>
      <c r="J20" s="11">
        <f>IFERROR(SUMIFS('Trade journal'!$AN$4:$AN$5000,'Trade journal'!$C$4:$C$5000,Dashboard!$H20,'Trade journal'!$K$4:$K$5000,Dashboard!J$3),"")</f>
        <v>10401.213360000002</v>
      </c>
      <c r="K20" s="11">
        <f>IFERROR(SUMIFS('Trade journal'!$AN$4:$AN$5000,'Trade journal'!$C$4:$C$5000,Dashboard!$H20,'Trade journal'!$K$4:$K$5000,Dashboard!K$3),"")</f>
        <v>0</v>
      </c>
      <c r="L20" s="11">
        <f>IFERROR(SUMIFS('Trade journal'!$AN$4:$AN$5000,'Trade journal'!$C$4:$C$5000,Dashboard!$H20,'Trade journal'!$K$4:$K$5000,Dashboard!L$3),"")</f>
        <v>0</v>
      </c>
      <c r="M20" s="103">
        <f t="shared" si="0"/>
        <v>10401.213360000002</v>
      </c>
    </row>
    <row r="21" spans="2:13">
      <c r="H21" s="53">
        <f>H20+1</f>
        <v>43312</v>
      </c>
      <c r="I21" s="45" t="str">
        <f>TEXT(H21,"ddd")</f>
        <v>Tue</v>
      </c>
      <c r="J21" s="11">
        <f>IFERROR(SUMIFS('Trade journal'!$AN$4:$AN$5000,'Trade journal'!$C$4:$C$5000,Dashboard!$H21,'Trade journal'!$K$4:$K$5000,Dashboard!J$3),"")</f>
        <v>0</v>
      </c>
      <c r="K21" s="11">
        <f>IFERROR(SUMIFS('Trade journal'!$AN$4:$AN$5000,'Trade journal'!$C$4:$C$5000,Dashboard!$H21,'Trade journal'!$K$4:$K$5000,Dashboard!K$3),"")</f>
        <v>80125.375599999999</v>
      </c>
      <c r="L21" s="11">
        <f>IFERROR(SUMIFS('Trade journal'!$AN$4:$AN$5000,'Trade journal'!$C$4:$C$5000,Dashboard!$H21,'Trade journal'!$K$4:$K$5000,Dashboard!L$3),"")</f>
        <v>0</v>
      </c>
      <c r="M21" s="103">
        <f t="shared" si="0"/>
        <v>80125.375599999999</v>
      </c>
    </row>
    <row r="22" spans="2:13">
      <c r="H22" s="53">
        <f>H21+1</f>
        <v>43313</v>
      </c>
      <c r="I22" s="45" t="str">
        <f>TEXT(H22,"ddd")</f>
        <v>Wed</v>
      </c>
      <c r="J22" s="11">
        <f>IFERROR(SUMIFS('Trade journal'!$AN$4:$AN$5000,'Trade journal'!$C$4:$C$5000,Dashboard!$H22,'Trade journal'!$K$4:$K$5000,Dashboard!J$3),"")</f>
        <v>0</v>
      </c>
      <c r="K22" s="11">
        <f>IFERROR(SUMIFS('Trade journal'!$AN$4:$AN$5000,'Trade journal'!$C$4:$C$5000,Dashboard!$H22,'Trade journal'!$K$4:$K$5000,Dashboard!K$3),"")</f>
        <v>60928.1708</v>
      </c>
      <c r="L22" s="11">
        <f>IFERROR(SUMIFS('Trade journal'!$AN$4:$AN$5000,'Trade journal'!$C$4:$C$5000,Dashboard!$H22,'Trade journal'!$K$4:$K$5000,Dashboard!L$3),"")</f>
        <v>-35940.224499999997</v>
      </c>
      <c r="M22" s="103">
        <f t="shared" si="0"/>
        <v>24987.946300000003</v>
      </c>
    </row>
    <row r="23" spans="2:13">
      <c r="C23" s="48" t="s">
        <v>494</v>
      </c>
      <c r="D23" s="49" t="s">
        <v>510</v>
      </c>
      <c r="E23" s="50" t="s">
        <v>511</v>
      </c>
      <c r="H23" s="53">
        <f>H22+1</f>
        <v>43314</v>
      </c>
      <c r="I23" s="45" t="str">
        <f t="shared" ref="I23:I25" si="7">TEXT(H23,"ddd")</f>
        <v>Thu</v>
      </c>
      <c r="J23" s="11">
        <f>IFERROR(SUMIFS('Trade journal'!$AN$4:$AN$5000,'Trade journal'!$C$4:$C$5000,Dashboard!$H23,'Trade journal'!$K$4:$K$5000,Dashboard!J$3),"")</f>
        <v>0</v>
      </c>
      <c r="K23" s="11">
        <f>IFERROR(SUMIFS('Trade journal'!$AN$4:$AN$5000,'Trade journal'!$C$4:$C$5000,Dashboard!$H23,'Trade journal'!$K$4:$K$5000,Dashboard!K$3),"")</f>
        <v>0</v>
      </c>
      <c r="L23" s="11">
        <f>IFERROR(SUMIFS('Trade journal'!$AN$4:$AN$5000,'Trade journal'!$C$4:$C$5000,Dashboard!$H23,'Trade journal'!$K$4:$K$5000,Dashboard!L$3),"")</f>
        <v>11106.589759999999</v>
      </c>
      <c r="M23" s="103">
        <f t="shared" si="0"/>
        <v>11106.589759999999</v>
      </c>
    </row>
    <row r="24" spans="2:13">
      <c r="B24" t="s">
        <v>547</v>
      </c>
      <c r="C24" s="15" t="s">
        <v>495</v>
      </c>
      <c r="D24" s="4">
        <f>COUNTIF('Trade journal'!$T$4:$T$5000,Dashboard!$B24)</f>
        <v>28</v>
      </c>
      <c r="E24" s="46">
        <f>IFERROR(D24/$D$27,"")</f>
        <v>0.56000000000000005</v>
      </c>
      <c r="H24" s="53">
        <f>H23+1</f>
        <v>43315</v>
      </c>
      <c r="I24" s="45" t="str">
        <f t="shared" si="7"/>
        <v>Fri</v>
      </c>
      <c r="J24" s="11">
        <f>IFERROR(SUMIFS('Trade journal'!$AN$4:$AN$5000,'Trade journal'!$C$4:$C$5000,Dashboard!$H24,'Trade journal'!$K$4:$K$5000,Dashboard!J$3),"")</f>
        <v>27242.827000000001</v>
      </c>
      <c r="K24" s="11">
        <f>IFERROR(SUMIFS('Trade journal'!$AN$4:$AN$5000,'Trade journal'!$C$4:$C$5000,Dashboard!$H24,'Trade journal'!$K$4:$K$5000,Dashboard!K$3),"")</f>
        <v>-47510.960050000002</v>
      </c>
      <c r="L24" s="11">
        <f>IFERROR(SUMIFS('Trade journal'!$AN$4:$AN$5000,'Trade journal'!$C$4:$C$5000,Dashboard!$H24,'Trade journal'!$K$4:$K$5000,Dashboard!L$3),"")</f>
        <v>0</v>
      </c>
      <c r="M24" s="103">
        <f t="shared" si="0"/>
        <v>-20268.13305</v>
      </c>
    </row>
    <row r="25" spans="2:13">
      <c r="B25" t="s">
        <v>499</v>
      </c>
      <c r="C25" s="15" t="s">
        <v>496</v>
      </c>
      <c r="D25" s="4">
        <f>COUNTIF('Trade journal'!$T$4:$T$5000,Dashboard!$B25)</f>
        <v>18</v>
      </c>
      <c r="E25" s="46">
        <f>IFERROR(D25/$D$27,"")</f>
        <v>0.36</v>
      </c>
      <c r="H25" s="53">
        <f>H24+3</f>
        <v>43318</v>
      </c>
      <c r="I25" s="45" t="str">
        <f t="shared" si="7"/>
        <v>Mon</v>
      </c>
      <c r="J25" s="11">
        <f>IFERROR(SUMIFS('Trade journal'!$AN$4:$AN$5000,'Trade journal'!$C$4:$C$5000,Dashboard!$H25,'Trade journal'!$K$4:$K$5000,Dashboard!J$3),"")</f>
        <v>0</v>
      </c>
      <c r="K25" s="11">
        <f>IFERROR(SUMIFS('Trade journal'!$AN$4:$AN$5000,'Trade journal'!$C$4:$C$5000,Dashboard!$H25,'Trade journal'!$K$4:$K$5000,Dashboard!K$3),"")</f>
        <v>0</v>
      </c>
      <c r="L25" s="11">
        <f>IFERROR(SUMIFS('Trade journal'!$AN$4:$AN$5000,'Trade journal'!$C$4:$C$5000,Dashboard!$H25,'Trade journal'!$K$4:$K$5000,Dashboard!L$3),"")</f>
        <v>-9860.9768000000004</v>
      </c>
      <c r="M25" s="103">
        <f t="shared" si="0"/>
        <v>-9860.9768000000004</v>
      </c>
    </row>
    <row r="26" spans="2:13">
      <c r="B26" t="s">
        <v>498</v>
      </c>
      <c r="C26" s="15" t="s">
        <v>497</v>
      </c>
      <c r="D26" s="4">
        <f>COUNTIF('Trade journal'!$T$4:$T$5000,Dashboard!$B26)</f>
        <v>4</v>
      </c>
      <c r="E26" s="46">
        <f>IFERROR(D26/$D$27,"")</f>
        <v>0.08</v>
      </c>
      <c r="H26" s="53">
        <f>H25+1</f>
        <v>43319</v>
      </c>
      <c r="I26" s="45" t="str">
        <f>TEXT(H26,"ddd")</f>
        <v>Tue</v>
      </c>
      <c r="J26" s="11">
        <f>IFERROR(SUMIFS('Trade journal'!$AN$4:$AN$5000,'Trade journal'!$C$4:$C$5000,Dashboard!$H26,'Trade journal'!$K$4:$K$5000,Dashboard!J$3),"")</f>
        <v>0</v>
      </c>
      <c r="K26" s="11">
        <f>IFERROR(SUMIFS('Trade journal'!$AN$4:$AN$5000,'Trade journal'!$C$4:$C$5000,Dashboard!$H26,'Trade journal'!$K$4:$K$5000,Dashboard!K$3),"")</f>
        <v>11603.633225</v>
      </c>
      <c r="L26" s="11">
        <f>IFERROR(SUMIFS('Trade journal'!$AN$4:$AN$5000,'Trade journal'!$C$4:$C$5000,Dashboard!$H26,'Trade journal'!$K$4:$K$5000,Dashboard!L$3),"")</f>
        <v>0</v>
      </c>
      <c r="M26" s="103">
        <f t="shared" si="0"/>
        <v>11603.633225</v>
      </c>
    </row>
    <row r="27" spans="2:13">
      <c r="C27" s="21" t="s">
        <v>500</v>
      </c>
      <c r="D27" s="22">
        <f>SUM(D24:D26)</f>
        <v>50</v>
      </c>
      <c r="E27" s="47">
        <f>SUM(E24:E26)</f>
        <v>1</v>
      </c>
      <c r="H27" s="53">
        <f>H26+1</f>
        <v>43320</v>
      </c>
      <c r="I27" s="45" t="str">
        <f>TEXT(H27,"ddd")</f>
        <v>Wed</v>
      </c>
      <c r="J27" s="11">
        <f>IFERROR(SUMIFS('Trade journal'!$AN$4:$AN$5000,'Trade journal'!$C$4:$C$5000,Dashboard!$H27,'Trade journal'!$K$4:$K$5000,Dashboard!J$3),"")</f>
        <v>-18455.4202</v>
      </c>
      <c r="K27" s="11">
        <f>IFERROR(SUMIFS('Trade journal'!$AN$4:$AN$5000,'Trade journal'!$C$4:$C$5000,Dashboard!$H27,'Trade journal'!$K$4:$K$5000,Dashboard!K$3),"")</f>
        <v>0</v>
      </c>
      <c r="L27" s="11">
        <f>IFERROR(SUMIFS('Trade journal'!$AN$4:$AN$5000,'Trade journal'!$C$4:$C$5000,Dashboard!$H27,'Trade journal'!$K$4:$K$5000,Dashboard!L$3),"")</f>
        <v>-11291.10528</v>
      </c>
      <c r="M27" s="103">
        <f t="shared" si="0"/>
        <v>-29746.52548</v>
      </c>
    </row>
    <row r="28" spans="2:13">
      <c r="D28" s="8"/>
      <c r="E28" s="8"/>
      <c r="F28" s="8"/>
      <c r="H28" s="53">
        <f>H27+1</f>
        <v>43321</v>
      </c>
      <c r="I28" s="45" t="str">
        <f t="shared" ref="I28:I30" si="8">TEXT(H28,"ddd")</f>
        <v>Thu</v>
      </c>
      <c r="J28" s="11">
        <f>IFERROR(SUMIFS('Trade journal'!$AN$4:$AN$5000,'Trade journal'!$C$4:$C$5000,Dashboard!$H28,'Trade journal'!$K$4:$K$5000,Dashboard!J$3),"")</f>
        <v>0</v>
      </c>
      <c r="K28" s="11">
        <f>IFERROR(SUMIFS('Trade journal'!$AN$4:$AN$5000,'Trade journal'!$C$4:$C$5000,Dashboard!$H28,'Trade journal'!$K$4:$K$5000,Dashboard!K$3),"")</f>
        <v>108873.458</v>
      </c>
      <c r="L28" s="11">
        <f>IFERROR(SUMIFS('Trade journal'!$AN$4:$AN$5000,'Trade journal'!$C$4:$C$5000,Dashboard!$H28,'Trade journal'!$K$4:$K$5000,Dashboard!L$3),"")</f>
        <v>0</v>
      </c>
      <c r="M28" s="103">
        <f t="shared" si="0"/>
        <v>108873.458</v>
      </c>
    </row>
    <row r="29" spans="2:13">
      <c r="D29" s="8"/>
      <c r="E29" s="8"/>
      <c r="F29" s="8"/>
      <c r="H29" s="53">
        <f>H28+1</f>
        <v>43322</v>
      </c>
      <c r="I29" s="45" t="str">
        <f t="shared" si="8"/>
        <v>Fri</v>
      </c>
      <c r="J29" s="11">
        <f>IFERROR(SUMIFS('Trade journal'!$AN$4:$AN$5000,'Trade journal'!$C$4:$C$5000,Dashboard!$H29,'Trade journal'!$K$4:$K$5000,Dashboard!J$3),"")</f>
        <v>40039.087800000001</v>
      </c>
      <c r="K29" s="11">
        <f>IFERROR(SUMIFS('Trade journal'!$AN$4:$AN$5000,'Trade journal'!$C$4:$C$5000,Dashboard!$H29,'Trade journal'!$K$4:$K$5000,Dashboard!K$3),"")</f>
        <v>-63710.486000000004</v>
      </c>
      <c r="L29" s="11">
        <f>IFERROR(SUMIFS('Trade journal'!$AN$4:$AN$5000,'Trade journal'!$C$4:$C$5000,Dashboard!$H29,'Trade journal'!$K$4:$K$5000,Dashboard!L$3),"")</f>
        <v>0</v>
      </c>
      <c r="M29" s="103">
        <f t="shared" si="0"/>
        <v>-23671.398200000003</v>
      </c>
    </row>
    <row r="30" spans="2:13">
      <c r="B30" s="4" t="s">
        <v>517</v>
      </c>
      <c r="C30" s="48" t="s">
        <v>561</v>
      </c>
      <c r="D30" s="49" t="s">
        <v>510</v>
      </c>
      <c r="E30" s="50" t="s">
        <v>511</v>
      </c>
      <c r="F30" s="8"/>
      <c r="H30" s="53">
        <f>H29+3</f>
        <v>43325</v>
      </c>
      <c r="I30" s="45" t="str">
        <f t="shared" si="8"/>
        <v>Mon</v>
      </c>
      <c r="J30" s="11">
        <f>IFERROR(SUMIFS('Trade journal'!$AN$4:$AN$5000,'Trade journal'!$C$4:$C$5000,Dashboard!$H30,'Trade journal'!$K$4:$K$5000,Dashboard!J$3),"")</f>
        <v>0</v>
      </c>
      <c r="K30" s="11">
        <f>IFERROR(SUMIFS('Trade journal'!$AN$4:$AN$5000,'Trade journal'!$C$4:$C$5000,Dashboard!$H30,'Trade journal'!$K$4:$K$5000,Dashboard!K$3),"")</f>
        <v>0</v>
      </c>
      <c r="L30" s="11">
        <f>IFERROR(SUMIFS('Trade journal'!$AN$4:$AN$5000,'Trade journal'!$C$4:$C$5000,Dashboard!$H30,'Trade journal'!$K$4:$K$5000,Dashboard!L$3),"")</f>
        <v>30298.673059999997</v>
      </c>
      <c r="M30" s="103">
        <f t="shared" si="0"/>
        <v>30298.673059999997</v>
      </c>
    </row>
    <row r="31" spans="2:13">
      <c r="B31" s="4" t="s">
        <v>519</v>
      </c>
      <c r="C31" s="15" t="s">
        <v>517</v>
      </c>
      <c r="D31" s="4">
        <f>COUNTIF('Trade journal'!$AP$4:$AP$5000,Dashboard!$C31)</f>
        <v>26</v>
      </c>
      <c r="E31" s="46">
        <f>IFERROR(D31/$D$36,"")</f>
        <v>0.52</v>
      </c>
      <c r="F31" s="8"/>
      <c r="H31" s="53">
        <f>H30+1</f>
        <v>43326</v>
      </c>
      <c r="I31" s="45" t="str">
        <f>TEXT(H31,"ddd")</f>
        <v>Tue</v>
      </c>
      <c r="J31" s="11">
        <f>IFERROR(SUMIFS('Trade journal'!$AN$4:$AN$5000,'Trade journal'!$C$4:$C$5000,Dashboard!$H31,'Trade journal'!$K$4:$K$5000,Dashboard!J$3),"")</f>
        <v>35248.002200000003</v>
      </c>
      <c r="K31" s="11">
        <f>IFERROR(SUMIFS('Trade journal'!$AN$4:$AN$5000,'Trade journal'!$C$4:$C$5000,Dashboard!$H31,'Trade journal'!$K$4:$K$5000,Dashboard!K$3),"")</f>
        <v>0</v>
      </c>
      <c r="L31" s="11">
        <f>IFERROR(SUMIFS('Trade journal'!$AN$4:$AN$5000,'Trade journal'!$C$4:$C$5000,Dashboard!$H31,'Trade journal'!$K$4:$K$5000,Dashboard!L$3),"")</f>
        <v>0</v>
      </c>
      <c r="M31" s="103">
        <f t="shared" si="0"/>
        <v>35248.002200000003</v>
      </c>
    </row>
    <row r="32" spans="2:13">
      <c r="B32" s="4" t="s">
        <v>521</v>
      </c>
      <c r="C32" s="15" t="s">
        <v>519</v>
      </c>
      <c r="D32" s="4">
        <f>COUNTIF('Trade journal'!$AP$4:$AP$5000,Dashboard!$C32)</f>
        <v>5</v>
      </c>
      <c r="E32" s="46">
        <f>IFERROR(D32/$D$36,"")</f>
        <v>0.1</v>
      </c>
      <c r="H32" s="53">
        <f>H31+1</f>
        <v>43327</v>
      </c>
      <c r="I32" s="45" t="str">
        <f>TEXT(H32,"ddd")</f>
        <v>Wed</v>
      </c>
      <c r="J32" s="11">
        <f>IFERROR(SUMIFS('Trade journal'!$AN$4:$AN$5000,'Trade journal'!$C$4:$C$5000,Dashboard!$H32,'Trade journal'!$K$4:$K$5000,Dashboard!J$3),"")</f>
        <v>6193.3418000000001</v>
      </c>
      <c r="K32" s="11">
        <f>IFERROR(SUMIFS('Trade journal'!$AN$4:$AN$5000,'Trade journal'!$C$4:$C$5000,Dashboard!$H32,'Trade journal'!$K$4:$K$5000,Dashboard!K$3),"")</f>
        <v>-21989.612349999999</v>
      </c>
      <c r="L32" s="11">
        <f>IFERROR(SUMIFS('Trade journal'!$AN$4:$AN$5000,'Trade journal'!$C$4:$C$5000,Dashboard!$H32,'Trade journal'!$K$4:$K$5000,Dashboard!L$3),"")</f>
        <v>0</v>
      </c>
      <c r="M32" s="103">
        <f t="shared" si="0"/>
        <v>-15796.270549999999</v>
      </c>
    </row>
    <row r="33" spans="2:13">
      <c r="B33" s="4" t="s">
        <v>524</v>
      </c>
      <c r="C33" s="15" t="s">
        <v>521</v>
      </c>
      <c r="D33" s="4">
        <f>COUNTIF('Trade journal'!$AP$4:$AP$5000,Dashboard!$C33)</f>
        <v>12</v>
      </c>
      <c r="E33" s="46">
        <f>IFERROR(D33/$D$36,"")</f>
        <v>0.24</v>
      </c>
      <c r="H33" s="53">
        <f>H32+1</f>
        <v>43328</v>
      </c>
      <c r="I33" s="45" t="str">
        <f t="shared" ref="I33:I35" si="9">TEXT(H33,"ddd")</f>
        <v>Thu</v>
      </c>
      <c r="J33" s="11">
        <f>IFERROR(SUMIFS('Trade journal'!$AN$4:$AN$5000,'Trade journal'!$C$4:$C$5000,Dashboard!$H33,'Trade journal'!$K$4:$K$5000,Dashboard!J$3),"")</f>
        <v>0</v>
      </c>
      <c r="K33" s="11">
        <f>IFERROR(SUMIFS('Trade journal'!$AN$4:$AN$5000,'Trade journal'!$C$4:$C$5000,Dashboard!$H33,'Trade journal'!$K$4:$K$5000,Dashboard!K$3),"")</f>
        <v>-21989.612349999999</v>
      </c>
      <c r="L33" s="11">
        <f>IFERROR(SUMIFS('Trade journal'!$AN$4:$AN$5000,'Trade journal'!$C$4:$C$5000,Dashboard!$H33,'Trade journal'!$K$4:$K$5000,Dashboard!L$3),"")</f>
        <v>0</v>
      </c>
      <c r="M33" s="103">
        <f t="shared" si="0"/>
        <v>-21989.612349999999</v>
      </c>
    </row>
    <row r="34" spans="2:13">
      <c r="B34" s="4" t="s">
        <v>527</v>
      </c>
      <c r="C34" s="15" t="s">
        <v>524</v>
      </c>
      <c r="D34" s="4">
        <f>COUNTIF('Trade journal'!$AP$4:$AP$5000,Dashboard!$C34)</f>
        <v>5</v>
      </c>
      <c r="E34" s="46">
        <f>IFERROR(D34/$D$36,"")</f>
        <v>0.1</v>
      </c>
      <c r="H34" s="53">
        <f>H33+1</f>
        <v>43329</v>
      </c>
      <c r="I34" s="45" t="str">
        <f t="shared" si="9"/>
        <v>Fri</v>
      </c>
      <c r="J34" s="11">
        <f>IFERROR(SUMIFS('Trade journal'!$AN$4:$AN$5000,'Trade journal'!$C$4:$C$5000,Dashboard!$H34,'Trade journal'!$K$4:$K$5000,Dashboard!J$3),"")</f>
        <v>0</v>
      </c>
      <c r="K34" s="11">
        <f>IFERROR(SUMIFS('Trade journal'!$AN$4:$AN$5000,'Trade journal'!$C$4:$C$5000,Dashboard!$H34,'Trade journal'!$K$4:$K$5000,Dashboard!K$3),"")</f>
        <v>0</v>
      </c>
      <c r="L34" s="11">
        <f>IFERROR(SUMIFS('Trade journal'!$AN$4:$AN$5000,'Trade journal'!$C$4:$C$5000,Dashboard!$H34,'Trade journal'!$K$4:$K$5000,Dashboard!L$3),"")</f>
        <v>2118.3790000000017</v>
      </c>
      <c r="M34" s="103">
        <f t="shared" si="0"/>
        <v>2118.3790000000017</v>
      </c>
    </row>
    <row r="35" spans="2:13">
      <c r="C35" s="15" t="s">
        <v>527</v>
      </c>
      <c r="D35" s="4">
        <f>COUNTIF('Trade journal'!$AP$4:$AP$5000,Dashboard!$C35)</f>
        <v>2</v>
      </c>
      <c r="E35" s="46">
        <f>IFERROR(D35/$D$36,"")</f>
        <v>0.04</v>
      </c>
      <c r="H35" s="53">
        <f>H34+3</f>
        <v>43332</v>
      </c>
      <c r="I35" s="45" t="str">
        <f t="shared" si="9"/>
        <v>Mon</v>
      </c>
      <c r="J35" s="11">
        <f>IFERROR(SUMIFS('Trade journal'!$AN$4:$AN$5000,'Trade journal'!$C$4:$C$5000,Dashboard!$H35,'Trade journal'!$K$4:$K$5000,Dashboard!J$3),"")</f>
        <v>0</v>
      </c>
      <c r="K35" s="11">
        <f>IFERROR(SUMIFS('Trade journal'!$AN$4:$AN$5000,'Trade journal'!$C$4:$C$5000,Dashboard!$H35,'Trade journal'!$K$4:$K$5000,Dashboard!K$3),"")</f>
        <v>0</v>
      </c>
      <c r="L35" s="11">
        <f>IFERROR(SUMIFS('Trade journal'!$AN$4:$AN$5000,'Trade journal'!$C$4:$C$5000,Dashboard!$H35,'Trade journal'!$K$4:$K$5000,Dashboard!L$3),"")</f>
        <v>0</v>
      </c>
      <c r="M35" s="103">
        <f t="shared" si="0"/>
        <v>0</v>
      </c>
    </row>
    <row r="36" spans="2:13">
      <c r="C36" s="100" t="s">
        <v>4</v>
      </c>
      <c r="D36" s="101">
        <f>SUM(D31:D35)</f>
        <v>50</v>
      </c>
      <c r="E36" s="102">
        <f>SUM(E31:E35)</f>
        <v>1</v>
      </c>
      <c r="H36" s="53">
        <f>H35+1</f>
        <v>43333</v>
      </c>
      <c r="I36" s="45" t="str">
        <f>TEXT(H36,"ddd")</f>
        <v>Tue</v>
      </c>
      <c r="J36" s="11">
        <f>IFERROR(SUMIFS('Trade journal'!$AN$4:$AN$5000,'Trade journal'!$C$4:$C$5000,Dashboard!$H36,'Trade journal'!$K$4:$K$5000,Dashboard!J$3),"")</f>
        <v>0</v>
      </c>
      <c r="K36" s="11">
        <f>IFERROR(SUMIFS('Trade journal'!$AN$4:$AN$5000,'Trade journal'!$C$4:$C$5000,Dashboard!$H36,'Trade journal'!$K$4:$K$5000,Dashboard!K$3),"")</f>
        <v>0</v>
      </c>
      <c r="L36" s="11">
        <f>IFERROR(SUMIFS('Trade journal'!$AN$4:$AN$5000,'Trade journal'!$C$4:$C$5000,Dashboard!$H36,'Trade journal'!$K$4:$K$5000,Dashboard!L$3),"")</f>
        <v>0</v>
      </c>
      <c r="M36" s="103">
        <f t="shared" si="0"/>
        <v>0</v>
      </c>
    </row>
    <row r="37" spans="2:13">
      <c r="H37" s="53">
        <f>H36+1</f>
        <v>43334</v>
      </c>
      <c r="I37" s="45" t="str">
        <f>TEXT(H37,"ddd")</f>
        <v>Wed</v>
      </c>
      <c r="J37" s="11">
        <f>IFERROR(SUMIFS('Trade journal'!$AN$4:$AN$5000,'Trade journal'!$C$4:$C$5000,Dashboard!$H37,'Trade journal'!$K$4:$K$5000,Dashboard!J$3),"")</f>
        <v>0</v>
      </c>
      <c r="K37" s="11">
        <f>IFERROR(SUMIFS('Trade journal'!$AN$4:$AN$5000,'Trade journal'!$C$4:$C$5000,Dashboard!$H37,'Trade journal'!$K$4:$K$5000,Dashboard!K$3),"")</f>
        <v>0</v>
      </c>
      <c r="L37" s="11">
        <f>IFERROR(SUMIFS('Trade journal'!$AN$4:$AN$5000,'Trade journal'!$C$4:$C$5000,Dashboard!$H37,'Trade journal'!$K$4:$K$5000,Dashboard!L$3),"")</f>
        <v>0</v>
      </c>
      <c r="M37" s="103">
        <f t="shared" si="0"/>
        <v>0</v>
      </c>
    </row>
    <row r="38" spans="2:13">
      <c r="B38" s="4"/>
      <c r="H38" s="53">
        <f>H37+1</f>
        <v>43335</v>
      </c>
      <c r="I38" s="45" t="str">
        <f t="shared" ref="I38:I40" si="10">TEXT(H38,"ddd")</f>
        <v>Thu</v>
      </c>
      <c r="J38" s="11">
        <f>IFERROR(SUMIFS('Trade journal'!$AN$4:$AN$5000,'Trade journal'!$C$4:$C$5000,Dashboard!$H38,'Trade journal'!$K$4:$K$5000,Dashboard!J$3),"")</f>
        <v>0</v>
      </c>
      <c r="K38" s="11">
        <f>IFERROR(SUMIFS('Trade journal'!$AN$4:$AN$5000,'Trade journal'!$C$4:$C$5000,Dashboard!$H38,'Trade journal'!$K$4:$K$5000,Dashboard!K$3),"")</f>
        <v>0</v>
      </c>
      <c r="L38" s="11">
        <f>IFERROR(SUMIFS('Trade journal'!$AN$4:$AN$5000,'Trade journal'!$C$4:$C$5000,Dashboard!$H38,'Trade journal'!$K$4:$K$5000,Dashboard!L$3),"")</f>
        <v>0</v>
      </c>
      <c r="M38" s="103">
        <f t="shared" si="0"/>
        <v>0</v>
      </c>
    </row>
    <row r="39" spans="2:13">
      <c r="B39" s="4" t="s">
        <v>517</v>
      </c>
      <c r="C39" s="48" t="s">
        <v>562</v>
      </c>
      <c r="D39" s="49" t="s">
        <v>510</v>
      </c>
      <c r="E39" s="50" t="s">
        <v>511</v>
      </c>
      <c r="H39" s="53">
        <f>H38+1</f>
        <v>43336</v>
      </c>
      <c r="I39" s="45" t="str">
        <f t="shared" si="10"/>
        <v>Fri</v>
      </c>
      <c r="J39" s="11">
        <f>IFERROR(SUMIFS('Trade journal'!$AN$4:$AN$5000,'Trade journal'!$C$4:$C$5000,Dashboard!$H39,'Trade journal'!$K$4:$K$5000,Dashboard!J$3),"")</f>
        <v>0</v>
      </c>
      <c r="K39" s="11">
        <f>IFERROR(SUMIFS('Trade journal'!$AN$4:$AN$5000,'Trade journal'!$C$4:$C$5000,Dashboard!$H39,'Trade journal'!$K$4:$K$5000,Dashboard!K$3),"")</f>
        <v>0</v>
      </c>
      <c r="L39" s="11">
        <f>IFERROR(SUMIFS('Trade journal'!$AN$4:$AN$5000,'Trade journal'!$C$4:$C$5000,Dashboard!$H39,'Trade journal'!$K$4:$K$5000,Dashboard!L$3),"")</f>
        <v>0</v>
      </c>
      <c r="M39" s="103">
        <f t="shared" si="0"/>
        <v>0</v>
      </c>
    </row>
    <row r="40" spans="2:13">
      <c r="B40" s="4" t="s">
        <v>519</v>
      </c>
      <c r="C40" s="15" t="s">
        <v>517</v>
      </c>
      <c r="D40" s="4">
        <f>COUNTIF('Trade journal'!$AQ$4:$AQ$5000,Dashboard!$C40)</f>
        <v>46</v>
      </c>
      <c r="E40" s="46">
        <f>IFERROR(D40/$D$44,"")</f>
        <v>0.92</v>
      </c>
      <c r="H40" s="53">
        <f>H39+3</f>
        <v>43339</v>
      </c>
      <c r="I40" s="45" t="str">
        <f t="shared" si="10"/>
        <v>Mon</v>
      </c>
      <c r="J40" s="11">
        <f>IFERROR(SUMIFS('Trade journal'!$AN$4:$AN$5000,'Trade journal'!$C$4:$C$5000,Dashboard!$H40,'Trade journal'!$K$4:$K$5000,Dashboard!J$3),"")</f>
        <v>0</v>
      </c>
      <c r="K40" s="11">
        <f>IFERROR(SUMIFS('Trade journal'!$AN$4:$AN$5000,'Trade journal'!$C$4:$C$5000,Dashboard!$H40,'Trade journal'!$K$4:$K$5000,Dashboard!K$3),"")</f>
        <v>0</v>
      </c>
      <c r="L40" s="11">
        <f>IFERROR(SUMIFS('Trade journal'!$AN$4:$AN$5000,'Trade journal'!$C$4:$C$5000,Dashboard!$H40,'Trade journal'!$K$4:$K$5000,Dashboard!L$3),"")</f>
        <v>0</v>
      </c>
      <c r="M40" s="103">
        <f t="shared" si="0"/>
        <v>0</v>
      </c>
    </row>
    <row r="41" spans="2:13">
      <c r="B41" s="4" t="s">
        <v>524</v>
      </c>
      <c r="C41" s="15" t="s">
        <v>519</v>
      </c>
      <c r="D41" s="4">
        <f>COUNTIF('Trade journal'!$AQ$4:$AQ$5000,Dashboard!$C41)</f>
        <v>0</v>
      </c>
      <c r="E41" s="46">
        <f>IFERROR(D41/$D$44,"")</f>
        <v>0</v>
      </c>
      <c r="H41" s="53">
        <f>H40+1</f>
        <v>43340</v>
      </c>
      <c r="I41" s="45" t="str">
        <f>TEXT(H41,"ddd")</f>
        <v>Tue</v>
      </c>
      <c r="J41" s="11">
        <f>IFERROR(SUMIFS('Trade journal'!$AN$4:$AN$5000,'Trade journal'!$C$4:$C$5000,Dashboard!$H41,'Trade journal'!$K$4:$K$5000,Dashboard!J$3),"")</f>
        <v>0</v>
      </c>
      <c r="K41" s="11">
        <f>IFERROR(SUMIFS('Trade journal'!$AN$4:$AN$5000,'Trade journal'!$C$4:$C$5000,Dashboard!$H41,'Trade journal'!$K$4:$K$5000,Dashboard!K$3),"")</f>
        <v>0</v>
      </c>
      <c r="L41" s="11">
        <f>IFERROR(SUMIFS('Trade journal'!$AN$4:$AN$5000,'Trade journal'!$C$4:$C$5000,Dashboard!$H41,'Trade journal'!$K$4:$K$5000,Dashboard!L$3),"")</f>
        <v>0</v>
      </c>
      <c r="M41" s="103">
        <f t="shared" si="0"/>
        <v>0</v>
      </c>
    </row>
    <row r="42" spans="2:13">
      <c r="B42" s="4" t="s">
        <v>558</v>
      </c>
      <c r="C42" s="15" t="s">
        <v>524</v>
      </c>
      <c r="D42" s="4">
        <f>COUNTIF('Trade journal'!$AQ$4:$AQ$5000,Dashboard!$C42)</f>
        <v>4</v>
      </c>
      <c r="E42" s="46">
        <f>IFERROR(D42/$D$44,"")</f>
        <v>0.08</v>
      </c>
      <c r="H42" s="53">
        <f>H41+1</f>
        <v>43341</v>
      </c>
      <c r="I42" s="45" t="str">
        <f>TEXT(H42,"ddd")</f>
        <v>Wed</v>
      </c>
      <c r="J42" s="11">
        <f>IFERROR(SUMIFS('Trade journal'!$AN$4:$AN$5000,'Trade journal'!$C$4:$C$5000,Dashboard!$H42,'Trade journal'!$K$4:$K$5000,Dashboard!J$3),"")</f>
        <v>0</v>
      </c>
      <c r="K42" s="11">
        <f>IFERROR(SUMIFS('Trade journal'!$AN$4:$AN$5000,'Trade journal'!$C$4:$C$5000,Dashboard!$H42,'Trade journal'!$K$4:$K$5000,Dashboard!K$3),"")</f>
        <v>0</v>
      </c>
      <c r="L42" s="11">
        <f>IFERROR(SUMIFS('Trade journal'!$AN$4:$AN$5000,'Trade journal'!$C$4:$C$5000,Dashboard!$H42,'Trade journal'!$K$4:$K$5000,Dashboard!L$3),"")</f>
        <v>0</v>
      </c>
      <c r="M42" s="103">
        <f t="shared" si="0"/>
        <v>0</v>
      </c>
    </row>
    <row r="43" spans="2:13">
      <c r="C43" s="15" t="s">
        <v>558</v>
      </c>
      <c r="D43" s="4">
        <f>COUNTIF('Trade journal'!$AQ$4:$AQ$5000,Dashboard!$C43)</f>
        <v>0</v>
      </c>
      <c r="E43" s="46">
        <f>IFERROR(D43/$D$44,"")</f>
        <v>0</v>
      </c>
      <c r="H43" s="53">
        <f>H42+1</f>
        <v>43342</v>
      </c>
      <c r="I43" s="45" t="str">
        <f t="shared" ref="I43:I45" si="11">TEXT(H43,"ddd")</f>
        <v>Thu</v>
      </c>
      <c r="J43" s="11">
        <f>IFERROR(SUMIFS('Trade journal'!$AN$4:$AN$5000,'Trade journal'!$C$4:$C$5000,Dashboard!$H43,'Trade journal'!$K$4:$K$5000,Dashboard!J$3),"")</f>
        <v>0</v>
      </c>
      <c r="K43" s="11">
        <f>IFERROR(SUMIFS('Trade journal'!$AN$4:$AN$5000,'Trade journal'!$C$4:$C$5000,Dashboard!$H43,'Trade journal'!$K$4:$K$5000,Dashboard!K$3),"")</f>
        <v>0</v>
      </c>
      <c r="L43" s="11">
        <f>IFERROR(SUMIFS('Trade journal'!$AN$4:$AN$5000,'Trade journal'!$C$4:$C$5000,Dashboard!$H43,'Trade journal'!$K$4:$K$5000,Dashboard!L$3),"")</f>
        <v>0</v>
      </c>
      <c r="M43" s="103">
        <f t="shared" si="0"/>
        <v>0</v>
      </c>
    </row>
    <row r="44" spans="2:13">
      <c r="C44" s="100" t="s">
        <v>4</v>
      </c>
      <c r="D44" s="101">
        <f>SUM(D40:D43)</f>
        <v>50</v>
      </c>
      <c r="E44" s="102">
        <f>SUM(E40:E43)</f>
        <v>1</v>
      </c>
      <c r="H44" s="53">
        <f>H43+1</f>
        <v>43343</v>
      </c>
      <c r="I44" s="45" t="str">
        <f t="shared" si="11"/>
        <v>Fri</v>
      </c>
      <c r="J44" s="11">
        <f>IFERROR(SUMIFS('Trade journal'!$AN$4:$AN$5000,'Trade journal'!$C$4:$C$5000,Dashboard!$H44,'Trade journal'!$K$4:$K$5000,Dashboard!J$3),"")</f>
        <v>0</v>
      </c>
      <c r="K44" s="11">
        <f>IFERROR(SUMIFS('Trade journal'!$AN$4:$AN$5000,'Trade journal'!$C$4:$C$5000,Dashboard!$H44,'Trade journal'!$K$4:$K$5000,Dashboard!K$3),"")</f>
        <v>0</v>
      </c>
      <c r="L44" s="11">
        <f>IFERROR(SUMIFS('Trade journal'!$AN$4:$AN$5000,'Trade journal'!$C$4:$C$5000,Dashboard!$H44,'Trade journal'!$K$4:$K$5000,Dashboard!L$3),"")</f>
        <v>0</v>
      </c>
      <c r="M44" s="103">
        <f t="shared" si="0"/>
        <v>0</v>
      </c>
    </row>
    <row r="45" spans="2:13">
      <c r="H45" s="53">
        <f>H44+3</f>
        <v>43346</v>
      </c>
      <c r="I45" s="45" t="str">
        <f t="shared" si="11"/>
        <v>Mon</v>
      </c>
      <c r="J45" s="11">
        <f>IFERROR(SUMIFS('Trade journal'!$AN$4:$AN$5000,'Trade journal'!$C$4:$C$5000,Dashboard!$H45,'Trade journal'!$K$4:$K$5000,Dashboard!J$3),"")</f>
        <v>0</v>
      </c>
      <c r="K45" s="11">
        <f>IFERROR(SUMIFS('Trade journal'!$AN$4:$AN$5000,'Trade journal'!$C$4:$C$5000,Dashboard!$H45,'Trade journal'!$K$4:$K$5000,Dashboard!K$3),"")</f>
        <v>0</v>
      </c>
      <c r="L45" s="11">
        <f>IFERROR(SUMIFS('Trade journal'!$AN$4:$AN$5000,'Trade journal'!$C$4:$C$5000,Dashboard!$H45,'Trade journal'!$K$4:$K$5000,Dashboard!L$3),"")</f>
        <v>0</v>
      </c>
      <c r="M45" s="103">
        <f t="shared" si="0"/>
        <v>0</v>
      </c>
    </row>
    <row r="46" spans="2:13">
      <c r="H46" s="53">
        <f>H45+1</f>
        <v>43347</v>
      </c>
      <c r="I46" s="45" t="str">
        <f>TEXT(H46,"ddd")</f>
        <v>Tue</v>
      </c>
      <c r="J46" s="11">
        <f>IFERROR(SUMIFS('Trade journal'!$AN$4:$AN$5000,'Trade journal'!$C$4:$C$5000,Dashboard!$H46,'Trade journal'!$K$4:$K$5000,Dashboard!J$3),"")</f>
        <v>0</v>
      </c>
      <c r="K46" s="11">
        <f>IFERROR(SUMIFS('Trade journal'!$AN$4:$AN$5000,'Trade journal'!$C$4:$C$5000,Dashboard!$H46,'Trade journal'!$K$4:$K$5000,Dashboard!K$3),"")</f>
        <v>0</v>
      </c>
      <c r="L46" s="11">
        <f>IFERROR(SUMIFS('Trade journal'!$AN$4:$AN$5000,'Trade journal'!$C$4:$C$5000,Dashboard!$H46,'Trade journal'!$K$4:$K$5000,Dashboard!L$3),"")</f>
        <v>0</v>
      </c>
      <c r="M46" s="103">
        <f t="shared" si="0"/>
        <v>0</v>
      </c>
    </row>
    <row r="47" spans="2:13">
      <c r="H47" s="53">
        <f>H46+1</f>
        <v>43348</v>
      </c>
      <c r="I47" s="45" t="str">
        <f>TEXT(H47,"ddd")</f>
        <v>Wed</v>
      </c>
      <c r="J47" s="11">
        <f>IFERROR(SUMIFS('Trade journal'!$AN$4:$AN$5000,'Trade journal'!$C$4:$C$5000,Dashboard!$H47,'Trade journal'!$K$4:$K$5000,Dashboard!J$3),"")</f>
        <v>0</v>
      </c>
      <c r="K47" s="11">
        <f>IFERROR(SUMIFS('Trade journal'!$AN$4:$AN$5000,'Trade journal'!$C$4:$C$5000,Dashboard!$H47,'Trade journal'!$K$4:$K$5000,Dashboard!K$3),"")</f>
        <v>0</v>
      </c>
      <c r="L47" s="11">
        <f>IFERROR(SUMIFS('Trade journal'!$AN$4:$AN$5000,'Trade journal'!$C$4:$C$5000,Dashboard!$H47,'Trade journal'!$K$4:$K$5000,Dashboard!L$3),"")</f>
        <v>0</v>
      </c>
      <c r="M47" s="103">
        <f t="shared" si="0"/>
        <v>0</v>
      </c>
    </row>
    <row r="48" spans="2:13">
      <c r="H48" s="53">
        <f>H47+1</f>
        <v>43349</v>
      </c>
      <c r="I48" s="45" t="str">
        <f t="shared" ref="I48:I50" si="12">TEXT(H48,"ddd")</f>
        <v>Thu</v>
      </c>
      <c r="J48" s="11">
        <f>IFERROR(SUMIFS('Trade journal'!$AN$4:$AN$5000,'Trade journal'!$C$4:$C$5000,Dashboard!$H48,'Trade journal'!$K$4:$K$5000,Dashboard!J$3),"")</f>
        <v>0</v>
      </c>
      <c r="K48" s="11">
        <f>IFERROR(SUMIFS('Trade journal'!$AN$4:$AN$5000,'Trade journal'!$C$4:$C$5000,Dashboard!$H48,'Trade journal'!$K$4:$K$5000,Dashboard!K$3),"")</f>
        <v>0</v>
      </c>
      <c r="L48" s="11">
        <f>IFERROR(SUMIFS('Trade journal'!$AN$4:$AN$5000,'Trade journal'!$C$4:$C$5000,Dashboard!$H48,'Trade journal'!$K$4:$K$5000,Dashboard!L$3),"")</f>
        <v>0</v>
      </c>
      <c r="M48" s="103">
        <f t="shared" si="0"/>
        <v>0</v>
      </c>
    </row>
    <row r="49" spans="8:13">
      <c r="H49" s="53">
        <f>H48+1</f>
        <v>43350</v>
      </c>
      <c r="I49" s="45" t="str">
        <f t="shared" si="12"/>
        <v>Fri</v>
      </c>
      <c r="J49" s="11">
        <f>IFERROR(SUMIFS('Trade journal'!$AN$4:$AN$5000,'Trade journal'!$C$4:$C$5000,Dashboard!$H49,'Trade journal'!$K$4:$K$5000,Dashboard!J$3),"")</f>
        <v>0</v>
      </c>
      <c r="K49" s="11">
        <f>IFERROR(SUMIFS('Trade journal'!$AN$4:$AN$5000,'Trade journal'!$C$4:$C$5000,Dashboard!$H49,'Trade journal'!$K$4:$K$5000,Dashboard!K$3),"")</f>
        <v>0</v>
      </c>
      <c r="L49" s="11">
        <f>IFERROR(SUMIFS('Trade journal'!$AN$4:$AN$5000,'Trade journal'!$C$4:$C$5000,Dashboard!$H49,'Trade journal'!$K$4:$K$5000,Dashboard!L$3),"")</f>
        <v>0</v>
      </c>
      <c r="M49" s="103">
        <f t="shared" si="0"/>
        <v>0</v>
      </c>
    </row>
    <row r="50" spans="8:13">
      <c r="H50" s="53">
        <f>H49+3</f>
        <v>43353</v>
      </c>
      <c r="I50" s="45" t="str">
        <f t="shared" si="12"/>
        <v>Mon</v>
      </c>
      <c r="J50" s="11">
        <f>IFERROR(SUMIFS('Trade journal'!$AN$4:$AN$5000,'Trade journal'!$C$4:$C$5000,Dashboard!$H50,'Trade journal'!$K$4:$K$5000,Dashboard!J$3),"")</f>
        <v>0</v>
      </c>
      <c r="K50" s="11">
        <f>IFERROR(SUMIFS('Trade journal'!$AN$4:$AN$5000,'Trade journal'!$C$4:$C$5000,Dashboard!$H50,'Trade journal'!$K$4:$K$5000,Dashboard!K$3),"")</f>
        <v>0</v>
      </c>
      <c r="L50" s="11">
        <f>IFERROR(SUMIFS('Trade journal'!$AN$4:$AN$5000,'Trade journal'!$C$4:$C$5000,Dashboard!$H50,'Trade journal'!$K$4:$K$5000,Dashboard!L$3),"")</f>
        <v>0</v>
      </c>
      <c r="M50" s="103">
        <f t="shared" si="0"/>
        <v>0</v>
      </c>
    </row>
    <row r="51" spans="8:13">
      <c r="H51" s="53">
        <f>H50+1</f>
        <v>43354</v>
      </c>
      <c r="I51" s="45" t="str">
        <f>TEXT(H51,"ddd")</f>
        <v>Tue</v>
      </c>
      <c r="J51" s="11">
        <f>IFERROR(SUMIFS('Trade journal'!$AN$4:$AN$5000,'Trade journal'!$C$4:$C$5000,Dashboard!$H51,'Trade journal'!$K$4:$K$5000,Dashboard!J$3),"")</f>
        <v>0</v>
      </c>
      <c r="K51" s="11">
        <f>IFERROR(SUMIFS('Trade journal'!$AN$4:$AN$5000,'Trade journal'!$C$4:$C$5000,Dashboard!$H51,'Trade journal'!$K$4:$K$5000,Dashboard!K$3),"")</f>
        <v>0</v>
      </c>
      <c r="L51" s="11">
        <f>IFERROR(SUMIFS('Trade journal'!$AN$4:$AN$5000,'Trade journal'!$C$4:$C$5000,Dashboard!$H51,'Trade journal'!$K$4:$K$5000,Dashboard!L$3),"")</f>
        <v>0</v>
      </c>
      <c r="M51" s="103">
        <f t="shared" si="0"/>
        <v>0</v>
      </c>
    </row>
    <row r="52" spans="8:13">
      <c r="H52" s="53">
        <f>H51+1</f>
        <v>43355</v>
      </c>
      <c r="I52" s="45" t="str">
        <f>TEXT(H52,"ddd")</f>
        <v>Wed</v>
      </c>
      <c r="J52" s="11">
        <f>IFERROR(SUMIFS('Trade journal'!$AN$4:$AN$5000,'Trade journal'!$C$4:$C$5000,Dashboard!$H52,'Trade journal'!$K$4:$K$5000,Dashboard!J$3),"")</f>
        <v>0</v>
      </c>
      <c r="K52" s="11">
        <f>IFERROR(SUMIFS('Trade journal'!$AN$4:$AN$5000,'Trade journal'!$C$4:$C$5000,Dashboard!$H52,'Trade journal'!$K$4:$K$5000,Dashboard!K$3),"")</f>
        <v>0</v>
      </c>
      <c r="L52" s="11">
        <f>IFERROR(SUMIFS('Trade journal'!$AN$4:$AN$5000,'Trade journal'!$C$4:$C$5000,Dashboard!$H52,'Trade journal'!$K$4:$K$5000,Dashboard!L$3),"")</f>
        <v>0</v>
      </c>
      <c r="M52" s="103">
        <f t="shared" si="0"/>
        <v>0</v>
      </c>
    </row>
    <row r="53" spans="8:13">
      <c r="H53" s="53">
        <f>H52+1</f>
        <v>43356</v>
      </c>
      <c r="I53" s="45" t="str">
        <f t="shared" ref="I53:I55" si="13">TEXT(H53,"ddd")</f>
        <v>Thu</v>
      </c>
      <c r="J53" s="11">
        <f>IFERROR(SUMIFS('Trade journal'!$AN$4:$AN$5000,'Trade journal'!$C$4:$C$5000,Dashboard!$H53,'Trade journal'!$K$4:$K$5000,Dashboard!J$3),"")</f>
        <v>0</v>
      </c>
      <c r="K53" s="11">
        <f>IFERROR(SUMIFS('Trade journal'!$AN$4:$AN$5000,'Trade journal'!$C$4:$C$5000,Dashboard!$H53,'Trade journal'!$K$4:$K$5000,Dashboard!K$3),"")</f>
        <v>0</v>
      </c>
      <c r="L53" s="11">
        <f>IFERROR(SUMIFS('Trade journal'!$AN$4:$AN$5000,'Trade journal'!$C$4:$C$5000,Dashboard!$H53,'Trade journal'!$K$4:$K$5000,Dashboard!L$3),"")</f>
        <v>0</v>
      </c>
      <c r="M53" s="103">
        <f t="shared" si="0"/>
        <v>0</v>
      </c>
    </row>
    <row r="54" spans="8:13">
      <c r="H54" s="53">
        <f>H53+1</f>
        <v>43357</v>
      </c>
      <c r="I54" s="45" t="str">
        <f t="shared" si="13"/>
        <v>Fri</v>
      </c>
      <c r="J54" s="11">
        <f>IFERROR(SUMIFS('Trade journal'!$AN$4:$AN$5000,'Trade journal'!$C$4:$C$5000,Dashboard!$H54,'Trade journal'!$K$4:$K$5000,Dashboard!J$3),"")</f>
        <v>0</v>
      </c>
      <c r="K54" s="11">
        <f>IFERROR(SUMIFS('Trade journal'!$AN$4:$AN$5000,'Trade journal'!$C$4:$C$5000,Dashboard!$H54,'Trade journal'!$K$4:$K$5000,Dashboard!K$3),"")</f>
        <v>0</v>
      </c>
      <c r="L54" s="11">
        <f>IFERROR(SUMIFS('Trade journal'!$AN$4:$AN$5000,'Trade journal'!$C$4:$C$5000,Dashboard!$H54,'Trade journal'!$K$4:$K$5000,Dashboard!L$3),"")</f>
        <v>0</v>
      </c>
      <c r="M54" s="103">
        <f t="shared" si="0"/>
        <v>0</v>
      </c>
    </row>
    <row r="55" spans="8:13">
      <c r="H55" s="53">
        <f>H54+3</f>
        <v>43360</v>
      </c>
      <c r="I55" s="45" t="str">
        <f t="shared" si="13"/>
        <v>Mon</v>
      </c>
      <c r="J55" s="11">
        <f>IFERROR(SUMIFS('Trade journal'!$AN$4:$AN$5000,'Trade journal'!$C$4:$C$5000,Dashboard!$H55,'Trade journal'!$K$4:$K$5000,Dashboard!J$3),"")</f>
        <v>0</v>
      </c>
      <c r="K55" s="11">
        <f>IFERROR(SUMIFS('Trade journal'!$AN$4:$AN$5000,'Trade journal'!$C$4:$C$5000,Dashboard!$H55,'Trade journal'!$K$4:$K$5000,Dashboard!K$3),"")</f>
        <v>0</v>
      </c>
      <c r="L55" s="11">
        <f>IFERROR(SUMIFS('Trade journal'!$AN$4:$AN$5000,'Trade journal'!$C$4:$C$5000,Dashboard!$H55,'Trade journal'!$K$4:$K$5000,Dashboard!L$3),"")</f>
        <v>0</v>
      </c>
      <c r="M55" s="103">
        <f t="shared" si="0"/>
        <v>0</v>
      </c>
    </row>
    <row r="56" spans="8:13">
      <c r="H56" s="53">
        <f>H55+1</f>
        <v>43361</v>
      </c>
      <c r="I56" s="45" t="str">
        <f>TEXT(H56,"ddd")</f>
        <v>Tue</v>
      </c>
      <c r="J56" s="11">
        <f>IFERROR(SUMIFS('Trade journal'!$AN$4:$AN$5000,'Trade journal'!$C$4:$C$5000,Dashboard!$H56,'Trade journal'!$K$4:$K$5000,Dashboard!J$3),"")</f>
        <v>0</v>
      </c>
      <c r="K56" s="11">
        <f>IFERROR(SUMIFS('Trade journal'!$AN$4:$AN$5000,'Trade journal'!$C$4:$C$5000,Dashboard!$H56,'Trade journal'!$K$4:$K$5000,Dashboard!K$3),"")</f>
        <v>0</v>
      </c>
      <c r="L56" s="11">
        <f>IFERROR(SUMIFS('Trade journal'!$AN$4:$AN$5000,'Trade journal'!$C$4:$C$5000,Dashboard!$H56,'Trade journal'!$K$4:$K$5000,Dashboard!L$3),"")</f>
        <v>0</v>
      </c>
      <c r="M56" s="103">
        <f t="shared" si="0"/>
        <v>0</v>
      </c>
    </row>
    <row r="57" spans="8:13">
      <c r="H57" s="53">
        <f>H56+1</f>
        <v>43362</v>
      </c>
      <c r="I57" s="45" t="str">
        <f>TEXT(H57,"ddd")</f>
        <v>Wed</v>
      </c>
      <c r="J57" s="11">
        <f>IFERROR(SUMIFS('Trade journal'!$AN$4:$AN$5000,'Trade journal'!$C$4:$C$5000,Dashboard!$H57,'Trade journal'!$K$4:$K$5000,Dashboard!J$3),"")</f>
        <v>0</v>
      </c>
      <c r="K57" s="11">
        <f>IFERROR(SUMIFS('Trade journal'!$AN$4:$AN$5000,'Trade journal'!$C$4:$C$5000,Dashboard!$H57,'Trade journal'!$K$4:$K$5000,Dashboard!K$3),"")</f>
        <v>0</v>
      </c>
      <c r="L57" s="11">
        <f>IFERROR(SUMIFS('Trade journal'!$AN$4:$AN$5000,'Trade journal'!$C$4:$C$5000,Dashboard!$H57,'Trade journal'!$K$4:$K$5000,Dashboard!L$3),"")</f>
        <v>0</v>
      </c>
      <c r="M57" s="103">
        <f t="shared" si="0"/>
        <v>0</v>
      </c>
    </row>
    <row r="58" spans="8:13">
      <c r="H58" s="53">
        <f>H57+1</f>
        <v>43363</v>
      </c>
      <c r="I58" s="45" t="str">
        <f t="shared" ref="I58:I60" si="14">TEXT(H58,"ddd")</f>
        <v>Thu</v>
      </c>
      <c r="J58" s="11">
        <f>IFERROR(SUMIFS('Trade journal'!$AN$4:$AN$5000,'Trade journal'!$C$4:$C$5000,Dashboard!$H58,'Trade journal'!$K$4:$K$5000,Dashboard!J$3),"")</f>
        <v>0</v>
      </c>
      <c r="K58" s="11">
        <f>IFERROR(SUMIFS('Trade journal'!$AN$4:$AN$5000,'Trade journal'!$C$4:$C$5000,Dashboard!$H58,'Trade journal'!$K$4:$K$5000,Dashboard!K$3),"")</f>
        <v>0</v>
      </c>
      <c r="L58" s="11">
        <f>IFERROR(SUMIFS('Trade journal'!$AN$4:$AN$5000,'Trade journal'!$C$4:$C$5000,Dashboard!$H58,'Trade journal'!$K$4:$K$5000,Dashboard!L$3),"")</f>
        <v>0</v>
      </c>
      <c r="M58" s="103">
        <f t="shared" si="0"/>
        <v>0</v>
      </c>
    </row>
    <row r="59" spans="8:13">
      <c r="H59" s="53">
        <f>H58+1</f>
        <v>43364</v>
      </c>
      <c r="I59" s="45" t="str">
        <f t="shared" si="14"/>
        <v>Fri</v>
      </c>
      <c r="J59" s="11">
        <f>IFERROR(SUMIFS('Trade journal'!$AN$4:$AN$5000,'Trade journal'!$C$4:$C$5000,Dashboard!$H59,'Trade journal'!$K$4:$K$5000,Dashboard!J$3),"")</f>
        <v>0</v>
      </c>
      <c r="K59" s="11">
        <f>IFERROR(SUMIFS('Trade journal'!$AN$4:$AN$5000,'Trade journal'!$C$4:$C$5000,Dashboard!$H59,'Trade journal'!$K$4:$K$5000,Dashboard!K$3),"")</f>
        <v>0</v>
      </c>
      <c r="L59" s="11">
        <f>IFERROR(SUMIFS('Trade journal'!$AN$4:$AN$5000,'Trade journal'!$C$4:$C$5000,Dashboard!$H59,'Trade journal'!$K$4:$K$5000,Dashboard!L$3),"")</f>
        <v>0</v>
      </c>
      <c r="M59" s="103">
        <f t="shared" si="0"/>
        <v>0</v>
      </c>
    </row>
    <row r="60" spans="8:13">
      <c r="H60" s="53">
        <f>H59+3</f>
        <v>43367</v>
      </c>
      <c r="I60" s="45" t="str">
        <f t="shared" si="14"/>
        <v>Mon</v>
      </c>
      <c r="J60" s="11">
        <f>IFERROR(SUMIFS('Trade journal'!$AN$4:$AN$5000,'Trade journal'!$C$4:$C$5000,Dashboard!$H60,'Trade journal'!$K$4:$K$5000,Dashboard!J$3),"")</f>
        <v>0</v>
      </c>
      <c r="K60" s="11">
        <f>IFERROR(SUMIFS('Trade journal'!$AN$4:$AN$5000,'Trade journal'!$C$4:$C$5000,Dashboard!$H60,'Trade journal'!$K$4:$K$5000,Dashboard!K$3),"")</f>
        <v>0</v>
      </c>
      <c r="L60" s="11">
        <f>IFERROR(SUMIFS('Trade journal'!$AN$4:$AN$5000,'Trade journal'!$C$4:$C$5000,Dashboard!$H60,'Trade journal'!$K$4:$K$5000,Dashboard!L$3),"")</f>
        <v>0</v>
      </c>
      <c r="M60" s="103">
        <f t="shared" si="0"/>
        <v>0</v>
      </c>
    </row>
    <row r="61" spans="8:13">
      <c r="H61" s="53">
        <f>H60+1</f>
        <v>43368</v>
      </c>
      <c r="I61" s="45" t="str">
        <f>TEXT(H61,"ddd")</f>
        <v>Tue</v>
      </c>
      <c r="J61" s="11">
        <f>IFERROR(SUMIFS('Trade journal'!$AN$4:$AN$5000,'Trade journal'!$C$4:$C$5000,Dashboard!$H61,'Trade journal'!$K$4:$K$5000,Dashboard!J$3),"")</f>
        <v>0</v>
      </c>
      <c r="K61" s="11">
        <f>IFERROR(SUMIFS('Trade journal'!$AN$4:$AN$5000,'Trade journal'!$C$4:$C$5000,Dashboard!$H61,'Trade journal'!$K$4:$K$5000,Dashboard!K$3),"")</f>
        <v>0</v>
      </c>
      <c r="L61" s="11">
        <f>IFERROR(SUMIFS('Trade journal'!$AN$4:$AN$5000,'Trade journal'!$C$4:$C$5000,Dashboard!$H61,'Trade journal'!$K$4:$K$5000,Dashboard!L$3),"")</f>
        <v>0</v>
      </c>
      <c r="M61" s="103">
        <f t="shared" si="0"/>
        <v>0</v>
      </c>
    </row>
    <row r="62" spans="8:13">
      <c r="H62" s="53">
        <f>H61+1</f>
        <v>43369</v>
      </c>
      <c r="I62" s="45" t="str">
        <f>TEXT(H62,"ddd")</f>
        <v>Wed</v>
      </c>
      <c r="J62" s="11">
        <f>IFERROR(SUMIFS('Trade journal'!$AN$4:$AN$5000,'Trade journal'!$C$4:$C$5000,Dashboard!$H62,'Trade journal'!$K$4:$K$5000,Dashboard!J$3),"")</f>
        <v>0</v>
      </c>
      <c r="K62" s="11">
        <f>IFERROR(SUMIFS('Trade journal'!$AN$4:$AN$5000,'Trade journal'!$C$4:$C$5000,Dashboard!$H62,'Trade journal'!$K$4:$K$5000,Dashboard!K$3),"")</f>
        <v>0</v>
      </c>
      <c r="L62" s="11">
        <f>IFERROR(SUMIFS('Trade journal'!$AN$4:$AN$5000,'Trade journal'!$C$4:$C$5000,Dashboard!$H62,'Trade journal'!$K$4:$K$5000,Dashboard!L$3),"")</f>
        <v>0</v>
      </c>
      <c r="M62" s="103">
        <f t="shared" si="0"/>
        <v>0</v>
      </c>
    </row>
    <row r="63" spans="8:13">
      <c r="H63" s="53">
        <f>H62+1</f>
        <v>43370</v>
      </c>
      <c r="I63" s="45" t="str">
        <f t="shared" ref="I63:I65" si="15">TEXT(H63,"ddd")</f>
        <v>Thu</v>
      </c>
      <c r="J63" s="11">
        <f>IFERROR(SUMIFS('Trade journal'!$AN$4:$AN$5000,'Trade journal'!$C$4:$C$5000,Dashboard!$H63,'Trade journal'!$K$4:$K$5000,Dashboard!J$3),"")</f>
        <v>0</v>
      </c>
      <c r="K63" s="11">
        <f>IFERROR(SUMIFS('Trade journal'!$AN$4:$AN$5000,'Trade journal'!$C$4:$C$5000,Dashboard!$H63,'Trade journal'!$K$4:$K$5000,Dashboard!K$3),"")</f>
        <v>0</v>
      </c>
      <c r="L63" s="11">
        <f>IFERROR(SUMIFS('Trade journal'!$AN$4:$AN$5000,'Trade journal'!$C$4:$C$5000,Dashboard!$H63,'Trade journal'!$K$4:$K$5000,Dashboard!L$3),"")</f>
        <v>0</v>
      </c>
      <c r="M63" s="103">
        <f t="shared" si="0"/>
        <v>0</v>
      </c>
    </row>
    <row r="64" spans="8:13">
      <c r="H64" s="53">
        <f>H63+1</f>
        <v>43371</v>
      </c>
      <c r="I64" s="45" t="str">
        <f t="shared" si="15"/>
        <v>Fri</v>
      </c>
      <c r="J64" s="11">
        <f>IFERROR(SUMIFS('Trade journal'!$AN$4:$AN$5000,'Trade journal'!$C$4:$C$5000,Dashboard!$H64,'Trade journal'!$K$4:$K$5000,Dashboard!J$3),"")</f>
        <v>0</v>
      </c>
      <c r="K64" s="11">
        <f>IFERROR(SUMIFS('Trade journal'!$AN$4:$AN$5000,'Trade journal'!$C$4:$C$5000,Dashboard!$H64,'Trade journal'!$K$4:$K$5000,Dashboard!K$3),"")</f>
        <v>0</v>
      </c>
      <c r="L64" s="11">
        <f>IFERROR(SUMIFS('Trade journal'!$AN$4:$AN$5000,'Trade journal'!$C$4:$C$5000,Dashboard!$H64,'Trade journal'!$K$4:$K$5000,Dashboard!L$3),"")</f>
        <v>0</v>
      </c>
      <c r="M64" s="103">
        <f t="shared" si="0"/>
        <v>0</v>
      </c>
    </row>
    <row r="65" spans="8:13">
      <c r="H65" s="54">
        <f>H64+3</f>
        <v>43374</v>
      </c>
      <c r="I65" s="55" t="str">
        <f t="shared" si="15"/>
        <v>Mon</v>
      </c>
      <c r="J65" s="104">
        <f>IFERROR(SUMIFS('Trade journal'!$AN$4:$AN$5000,'Trade journal'!$C$4:$C$5000,Dashboard!$H65,'Trade journal'!$K$4:$K$5000,Dashboard!J$3),"")</f>
        <v>0</v>
      </c>
      <c r="K65" s="104">
        <f>IFERROR(SUMIFS('Trade journal'!$AN$4:$AN$5000,'Trade journal'!$C$4:$C$5000,Dashboard!$H65,'Trade journal'!$K$4:$K$5000,Dashboard!K$3),"")</f>
        <v>0</v>
      </c>
      <c r="L65" s="104">
        <f>IFERROR(SUMIFS('Trade journal'!$AN$4:$AN$5000,'Trade journal'!$C$4:$C$5000,Dashboard!$H65,'Trade journal'!$K$4:$K$5000,Dashboard!L$3),"")</f>
        <v>0</v>
      </c>
      <c r="M65" s="105">
        <f t="shared" si="0"/>
        <v>0</v>
      </c>
    </row>
  </sheetData>
  <mergeCells count="4">
    <mergeCell ref="C2:F2"/>
    <mergeCell ref="H2:M2"/>
    <mergeCell ref="O2:S2"/>
    <mergeCell ref="U2:Y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sheetViews>
  <sheetFormatPr defaultRowHeight="15"/>
  <sheetData>
    <row r="1" spans="2:2">
      <c r="B1" s="1" t="s">
        <v>540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7"/>
  <sheetViews>
    <sheetView workbookViewId="0"/>
  </sheetViews>
  <sheetFormatPr defaultRowHeight="15"/>
  <cols>
    <col min="1" max="1" width="34.5703125" bestFit="1" customWidth="1"/>
    <col min="2" max="2" width="14.5703125" bestFit="1" customWidth="1"/>
    <col min="3" max="3" width="7" bestFit="1" customWidth="1"/>
  </cols>
  <sheetData>
    <row r="1" spans="1:17">
      <c r="A1" t="s">
        <v>467</v>
      </c>
      <c r="B1" t="s">
        <v>466</v>
      </c>
      <c r="C1" s="18">
        <v>43361</v>
      </c>
      <c r="D1" s="18">
        <v>43391</v>
      </c>
      <c r="E1" s="18">
        <v>43422</v>
      </c>
      <c r="F1" s="18">
        <v>43452</v>
      </c>
      <c r="G1" s="18">
        <v>43178</v>
      </c>
      <c r="H1" s="18">
        <v>43270</v>
      </c>
      <c r="I1" s="18">
        <v>43453</v>
      </c>
      <c r="J1" s="18">
        <v>43271</v>
      </c>
      <c r="K1" s="18">
        <v>43454</v>
      </c>
      <c r="L1" s="18">
        <v>43272</v>
      </c>
      <c r="M1" s="18">
        <v>43455</v>
      </c>
      <c r="N1" s="18">
        <v>43273</v>
      </c>
      <c r="O1" s="18">
        <v>43456</v>
      </c>
      <c r="P1" s="18">
        <v>43274</v>
      </c>
      <c r="Q1" t="s">
        <v>35</v>
      </c>
    </row>
    <row r="2" spans="1:17">
      <c r="A2" t="s">
        <v>465</v>
      </c>
      <c r="B2" t="s">
        <v>464</v>
      </c>
      <c r="C2">
        <v>40</v>
      </c>
      <c r="D2">
        <v>40</v>
      </c>
      <c r="E2">
        <v>40</v>
      </c>
      <c r="F2" t="s">
        <v>35</v>
      </c>
      <c r="G2" t="s">
        <v>35</v>
      </c>
      <c r="H2" t="s">
        <v>35</v>
      </c>
      <c r="I2" t="s">
        <v>35</v>
      </c>
      <c r="J2" t="s">
        <v>35</v>
      </c>
      <c r="K2" t="s">
        <v>35</v>
      </c>
      <c r="L2" t="s">
        <v>35</v>
      </c>
      <c r="M2" t="s">
        <v>35</v>
      </c>
      <c r="N2" t="s">
        <v>35</v>
      </c>
      <c r="O2" t="s">
        <v>35</v>
      </c>
      <c r="P2" t="s">
        <v>35</v>
      </c>
      <c r="Q2" t="s">
        <v>35</v>
      </c>
    </row>
    <row r="3" spans="1:17">
      <c r="A3" t="s">
        <v>463</v>
      </c>
      <c r="B3" t="s">
        <v>462</v>
      </c>
      <c r="C3">
        <v>250</v>
      </c>
      <c r="D3">
        <v>250</v>
      </c>
      <c r="E3">
        <v>250</v>
      </c>
      <c r="F3" t="s">
        <v>35</v>
      </c>
      <c r="G3" t="s">
        <v>35</v>
      </c>
      <c r="H3" t="s">
        <v>35</v>
      </c>
      <c r="I3" t="s">
        <v>35</v>
      </c>
      <c r="J3" t="s">
        <v>35</v>
      </c>
      <c r="K3" t="s">
        <v>35</v>
      </c>
      <c r="L3" t="s">
        <v>35</v>
      </c>
      <c r="M3" t="s">
        <v>35</v>
      </c>
      <c r="N3" t="s">
        <v>35</v>
      </c>
      <c r="O3" t="s">
        <v>35</v>
      </c>
      <c r="P3" t="s">
        <v>35</v>
      </c>
      <c r="Q3" t="s">
        <v>35</v>
      </c>
    </row>
    <row r="4" spans="1:17">
      <c r="A4" t="s">
        <v>461</v>
      </c>
      <c r="B4" t="s">
        <v>460</v>
      </c>
      <c r="C4">
        <v>100</v>
      </c>
      <c r="D4">
        <v>100</v>
      </c>
      <c r="E4">
        <v>100</v>
      </c>
      <c r="F4">
        <v>100</v>
      </c>
      <c r="G4">
        <v>100</v>
      </c>
      <c r="H4">
        <v>100</v>
      </c>
      <c r="I4" t="s">
        <v>35</v>
      </c>
      <c r="J4" t="s">
        <v>35</v>
      </c>
      <c r="K4" t="s">
        <v>35</v>
      </c>
      <c r="L4" t="s">
        <v>35</v>
      </c>
      <c r="M4" t="s">
        <v>35</v>
      </c>
      <c r="N4" t="s">
        <v>35</v>
      </c>
      <c r="O4" t="s">
        <v>35</v>
      </c>
      <c r="P4" t="s">
        <v>35</v>
      </c>
      <c r="Q4" t="s">
        <v>35</v>
      </c>
    </row>
    <row r="5" spans="1:17">
      <c r="A5" t="s">
        <v>459</v>
      </c>
      <c r="B5" t="s">
        <v>458</v>
      </c>
      <c r="C5">
        <v>50</v>
      </c>
      <c r="D5">
        <v>50</v>
      </c>
      <c r="E5">
        <v>50</v>
      </c>
      <c r="F5" t="s">
        <v>35</v>
      </c>
      <c r="G5" t="s">
        <v>35</v>
      </c>
      <c r="H5" t="s">
        <v>35</v>
      </c>
      <c r="I5" t="s">
        <v>35</v>
      </c>
      <c r="J5" t="s">
        <v>35</v>
      </c>
      <c r="K5" t="s">
        <v>35</v>
      </c>
      <c r="L5" t="s">
        <v>35</v>
      </c>
      <c r="M5" t="s">
        <v>35</v>
      </c>
      <c r="N5" t="s">
        <v>35</v>
      </c>
      <c r="O5" t="s">
        <v>35</v>
      </c>
      <c r="P5" t="s">
        <v>35</v>
      </c>
      <c r="Q5" t="s">
        <v>35</v>
      </c>
    </row>
    <row r="6" spans="1:17">
      <c r="A6" t="s">
        <v>457</v>
      </c>
      <c r="B6" t="s">
        <v>26</v>
      </c>
      <c r="C6">
        <v>75</v>
      </c>
      <c r="D6">
        <v>75</v>
      </c>
      <c r="E6">
        <v>75</v>
      </c>
      <c r="F6">
        <v>75</v>
      </c>
      <c r="G6">
        <v>75</v>
      </c>
      <c r="H6">
        <v>75</v>
      </c>
      <c r="I6">
        <v>75</v>
      </c>
      <c r="J6">
        <v>75</v>
      </c>
      <c r="K6">
        <v>75</v>
      </c>
      <c r="L6">
        <v>75</v>
      </c>
      <c r="M6">
        <v>75</v>
      </c>
      <c r="N6">
        <v>75</v>
      </c>
      <c r="O6">
        <v>75</v>
      </c>
      <c r="P6">
        <v>75</v>
      </c>
      <c r="Q6" t="s">
        <v>35</v>
      </c>
    </row>
    <row r="7" spans="1:17">
      <c r="A7" t="s">
        <v>456</v>
      </c>
      <c r="B7" t="s">
        <v>455</v>
      </c>
      <c r="C7">
        <v>110</v>
      </c>
      <c r="D7">
        <v>110</v>
      </c>
      <c r="E7">
        <v>110</v>
      </c>
      <c r="F7" t="s">
        <v>35</v>
      </c>
      <c r="G7" t="s">
        <v>35</v>
      </c>
      <c r="H7" t="s">
        <v>35</v>
      </c>
      <c r="I7" t="s">
        <v>35</v>
      </c>
      <c r="J7" t="s">
        <v>35</v>
      </c>
      <c r="K7" t="s">
        <v>35</v>
      </c>
      <c r="L7" t="s">
        <v>35</v>
      </c>
      <c r="M7" t="s">
        <v>35</v>
      </c>
      <c r="N7" t="s">
        <v>35</v>
      </c>
      <c r="O7" t="s">
        <v>35</v>
      </c>
      <c r="P7" t="s">
        <v>35</v>
      </c>
      <c r="Q7" t="s">
        <v>35</v>
      </c>
    </row>
    <row r="8" spans="1:17">
      <c r="A8" t="s">
        <v>454</v>
      </c>
      <c r="B8" t="s">
        <v>453</v>
      </c>
      <c r="C8">
        <v>200</v>
      </c>
      <c r="D8">
        <v>200</v>
      </c>
      <c r="E8">
        <v>200</v>
      </c>
      <c r="F8" t="s">
        <v>35</v>
      </c>
      <c r="G8" t="s">
        <v>35</v>
      </c>
      <c r="H8" t="s">
        <v>35</v>
      </c>
      <c r="I8" t="s">
        <v>35</v>
      </c>
      <c r="J8" t="s">
        <v>35</v>
      </c>
      <c r="K8" t="s">
        <v>35</v>
      </c>
      <c r="L8" t="s">
        <v>35</v>
      </c>
      <c r="M8" t="s">
        <v>35</v>
      </c>
      <c r="N8" t="s">
        <v>35</v>
      </c>
      <c r="O8" t="s">
        <v>35</v>
      </c>
      <c r="P8" t="s">
        <v>35</v>
      </c>
      <c r="Q8" t="s">
        <v>35</v>
      </c>
    </row>
    <row r="9" spans="1:17">
      <c r="A9" t="s">
        <v>452</v>
      </c>
      <c r="B9" t="s">
        <v>451</v>
      </c>
      <c r="C9">
        <v>225</v>
      </c>
      <c r="D9">
        <v>225</v>
      </c>
      <c r="E9">
        <v>225</v>
      </c>
      <c r="F9" t="s">
        <v>35</v>
      </c>
      <c r="G9" t="s">
        <v>35</v>
      </c>
      <c r="H9" t="s">
        <v>35</v>
      </c>
      <c r="I9" t="s">
        <v>35</v>
      </c>
      <c r="J9" t="s">
        <v>35</v>
      </c>
      <c r="K9" t="s">
        <v>35</v>
      </c>
      <c r="L9" t="s">
        <v>35</v>
      </c>
      <c r="M9" t="s">
        <v>35</v>
      </c>
      <c r="N9" t="s">
        <v>35</v>
      </c>
      <c r="O9" t="s">
        <v>35</v>
      </c>
      <c r="P9" t="s">
        <v>35</v>
      </c>
      <c r="Q9" t="s">
        <v>35</v>
      </c>
    </row>
    <row r="10" spans="1:17" ht="13.5" customHeight="1">
      <c r="A10" t="s">
        <v>450</v>
      </c>
      <c r="B10" t="s">
        <v>449</v>
      </c>
      <c r="C10">
        <v>900</v>
      </c>
      <c r="D10">
        <v>900</v>
      </c>
      <c r="E10" t="s">
        <v>35</v>
      </c>
      <c r="F10" t="s">
        <v>35</v>
      </c>
      <c r="G10" t="s">
        <v>35</v>
      </c>
      <c r="H10" t="s">
        <v>35</v>
      </c>
      <c r="I10" s="24"/>
      <c r="J10" s="28"/>
      <c r="K10" t="s">
        <v>35</v>
      </c>
      <c r="L10" t="s">
        <v>35</v>
      </c>
      <c r="M10" t="s">
        <v>35</v>
      </c>
      <c r="N10" t="s">
        <v>35</v>
      </c>
      <c r="O10" t="s">
        <v>35</v>
      </c>
      <c r="P10" t="s">
        <v>35</v>
      </c>
      <c r="Q10" t="s">
        <v>35</v>
      </c>
    </row>
    <row r="11" spans="1:17">
      <c r="A11" t="s">
        <v>448</v>
      </c>
      <c r="B11" t="s">
        <v>447</v>
      </c>
      <c r="C11" s="18">
        <v>43361</v>
      </c>
      <c r="D11" s="18">
        <v>43391</v>
      </c>
      <c r="E11" s="18">
        <v>43422</v>
      </c>
      <c r="F11" t="s">
        <v>35</v>
      </c>
      <c r="G11" t="s">
        <v>35</v>
      </c>
      <c r="H11" t="s">
        <v>35</v>
      </c>
      <c r="I11" t="s">
        <v>35</v>
      </c>
      <c r="J11" t="s">
        <v>35</v>
      </c>
      <c r="K11" t="s">
        <v>35</v>
      </c>
      <c r="L11" t="s">
        <v>35</v>
      </c>
      <c r="M11" t="s">
        <v>35</v>
      </c>
      <c r="N11" t="s">
        <v>35</v>
      </c>
      <c r="O11" t="s">
        <v>35</v>
      </c>
      <c r="P11" t="s">
        <v>35</v>
      </c>
      <c r="Q11" t="s">
        <v>35</v>
      </c>
    </row>
    <row r="12" spans="1:17">
      <c r="A12" t="s">
        <v>446</v>
      </c>
      <c r="B12" t="s">
        <v>445</v>
      </c>
      <c r="C12">
        <v>4000</v>
      </c>
      <c r="D12">
        <v>4000</v>
      </c>
      <c r="E12">
        <v>4000</v>
      </c>
      <c r="F12" t="s">
        <v>35</v>
      </c>
      <c r="G12" t="s">
        <v>35</v>
      </c>
      <c r="H12" t="s">
        <v>35</v>
      </c>
      <c r="I12" t="s">
        <v>35</v>
      </c>
      <c r="J12" t="s">
        <v>35</v>
      </c>
      <c r="K12" t="s">
        <v>35</v>
      </c>
      <c r="L12" t="s">
        <v>35</v>
      </c>
      <c r="M12" t="s">
        <v>35</v>
      </c>
      <c r="N12" t="s">
        <v>35</v>
      </c>
      <c r="O12" t="s">
        <v>35</v>
      </c>
      <c r="P12" t="s">
        <v>35</v>
      </c>
      <c r="Q12" t="s">
        <v>35</v>
      </c>
    </row>
    <row r="13" spans="1:17">
      <c r="A13" t="s">
        <v>444</v>
      </c>
      <c r="B13" t="s">
        <v>443</v>
      </c>
      <c r="C13">
        <v>2500</v>
      </c>
      <c r="D13">
        <v>2500</v>
      </c>
      <c r="E13">
        <v>2500</v>
      </c>
      <c r="F13" t="s">
        <v>35</v>
      </c>
      <c r="G13" t="s">
        <v>35</v>
      </c>
      <c r="H13" t="s">
        <v>35</v>
      </c>
      <c r="I13" t="s">
        <v>35</v>
      </c>
      <c r="J13" t="s">
        <v>35</v>
      </c>
      <c r="K13" t="s">
        <v>35</v>
      </c>
      <c r="L13" t="s">
        <v>35</v>
      </c>
      <c r="M13" t="s">
        <v>35</v>
      </c>
      <c r="N13" t="s">
        <v>35</v>
      </c>
      <c r="O13" t="s">
        <v>35</v>
      </c>
      <c r="P13" t="s">
        <v>35</v>
      </c>
      <c r="Q13" t="s">
        <v>35</v>
      </c>
    </row>
    <row r="14" spans="1:17">
      <c r="A14" t="s">
        <v>442</v>
      </c>
      <c r="B14" t="s">
        <v>441</v>
      </c>
      <c r="C14">
        <v>400</v>
      </c>
      <c r="D14">
        <v>400</v>
      </c>
      <c r="E14">
        <v>400</v>
      </c>
      <c r="F14" t="s">
        <v>35</v>
      </c>
      <c r="G14" t="s">
        <v>35</v>
      </c>
      <c r="H14" t="s">
        <v>35</v>
      </c>
      <c r="I14" t="s">
        <v>35</v>
      </c>
      <c r="J14" t="s">
        <v>35</v>
      </c>
      <c r="K14" t="s">
        <v>35</v>
      </c>
      <c r="L14" t="s">
        <v>35</v>
      </c>
      <c r="M14" t="s">
        <v>35</v>
      </c>
      <c r="N14" t="s">
        <v>35</v>
      </c>
      <c r="O14" t="s">
        <v>35</v>
      </c>
      <c r="P14" t="s">
        <v>35</v>
      </c>
      <c r="Q14" t="s">
        <v>35</v>
      </c>
    </row>
    <row r="15" spans="1:17">
      <c r="A15" t="s">
        <v>440</v>
      </c>
      <c r="B15" t="s">
        <v>439</v>
      </c>
      <c r="C15">
        <v>500</v>
      </c>
      <c r="D15">
        <v>500</v>
      </c>
      <c r="E15">
        <v>500</v>
      </c>
      <c r="F15" t="s">
        <v>35</v>
      </c>
      <c r="G15" t="s">
        <v>35</v>
      </c>
      <c r="H15" t="s">
        <v>35</v>
      </c>
      <c r="I15" t="s">
        <v>35</v>
      </c>
      <c r="J15" t="s">
        <v>35</v>
      </c>
      <c r="K15" t="s">
        <v>35</v>
      </c>
      <c r="L15" t="s">
        <v>35</v>
      </c>
      <c r="M15" t="s">
        <v>35</v>
      </c>
      <c r="N15" t="s">
        <v>35</v>
      </c>
      <c r="O15" t="s">
        <v>35</v>
      </c>
      <c r="P15" t="s">
        <v>35</v>
      </c>
      <c r="Q15" t="s">
        <v>35</v>
      </c>
    </row>
    <row r="16" spans="1:17">
      <c r="A16" t="s">
        <v>438</v>
      </c>
      <c r="B16" t="s">
        <v>437</v>
      </c>
      <c r="C16">
        <v>1000</v>
      </c>
      <c r="D16">
        <v>1000</v>
      </c>
      <c r="E16">
        <v>1000</v>
      </c>
      <c r="F16" t="s">
        <v>35</v>
      </c>
      <c r="G16" t="s">
        <v>35</v>
      </c>
      <c r="H16" t="s">
        <v>35</v>
      </c>
      <c r="I16" t="s">
        <v>35</v>
      </c>
      <c r="J16" t="s">
        <v>35</v>
      </c>
      <c r="K16" t="s">
        <v>35</v>
      </c>
      <c r="L16" t="s">
        <v>35</v>
      </c>
      <c r="M16" t="s">
        <v>35</v>
      </c>
      <c r="N16" t="s">
        <v>35</v>
      </c>
      <c r="O16" t="s">
        <v>35</v>
      </c>
      <c r="P16" t="s">
        <v>35</v>
      </c>
      <c r="Q16" t="s">
        <v>35</v>
      </c>
    </row>
    <row r="17" spans="1:17">
      <c r="A17" t="s">
        <v>436</v>
      </c>
      <c r="B17" t="s">
        <v>435</v>
      </c>
      <c r="C17">
        <v>2500</v>
      </c>
      <c r="D17">
        <v>2500</v>
      </c>
      <c r="E17">
        <v>2500</v>
      </c>
      <c r="F17" t="s">
        <v>35</v>
      </c>
      <c r="G17" t="s">
        <v>35</v>
      </c>
      <c r="H17" t="s">
        <v>35</v>
      </c>
      <c r="I17" t="s">
        <v>35</v>
      </c>
      <c r="J17" t="s">
        <v>35</v>
      </c>
      <c r="K17" t="s">
        <v>35</v>
      </c>
      <c r="L17" t="s">
        <v>35</v>
      </c>
      <c r="M17" t="s">
        <v>35</v>
      </c>
      <c r="N17" t="s">
        <v>35</v>
      </c>
      <c r="O17" t="s">
        <v>35</v>
      </c>
      <c r="P17" t="s">
        <v>35</v>
      </c>
      <c r="Q17" t="s">
        <v>35</v>
      </c>
    </row>
    <row r="18" spans="1:17">
      <c r="A18" t="s">
        <v>434</v>
      </c>
      <c r="B18" t="s">
        <v>433</v>
      </c>
      <c r="C18">
        <v>11000</v>
      </c>
      <c r="D18">
        <v>11000</v>
      </c>
      <c r="E18">
        <v>11000</v>
      </c>
      <c r="F18" t="s">
        <v>35</v>
      </c>
      <c r="G18" t="s">
        <v>35</v>
      </c>
      <c r="H18" t="s">
        <v>35</v>
      </c>
      <c r="I18" t="s">
        <v>35</v>
      </c>
      <c r="J18" t="s">
        <v>35</v>
      </c>
      <c r="K18" t="s">
        <v>35</v>
      </c>
      <c r="L18" t="s">
        <v>35</v>
      </c>
      <c r="M18" t="s">
        <v>35</v>
      </c>
      <c r="N18" t="s">
        <v>35</v>
      </c>
      <c r="O18" t="s">
        <v>35</v>
      </c>
      <c r="P18" t="s">
        <v>35</v>
      </c>
      <c r="Q18" t="s">
        <v>35</v>
      </c>
    </row>
    <row r="19" spans="1:17">
      <c r="A19" t="s">
        <v>432</v>
      </c>
      <c r="B19" t="s">
        <v>431</v>
      </c>
      <c r="C19">
        <v>500</v>
      </c>
      <c r="D19">
        <v>500</v>
      </c>
      <c r="E19">
        <v>500</v>
      </c>
      <c r="F19" t="s">
        <v>35</v>
      </c>
      <c r="G19" t="s">
        <v>35</v>
      </c>
      <c r="H19" t="s">
        <v>35</v>
      </c>
      <c r="I19" t="s">
        <v>35</v>
      </c>
      <c r="J19" t="s">
        <v>35</v>
      </c>
      <c r="K19" t="s">
        <v>35</v>
      </c>
      <c r="L19" t="s">
        <v>35</v>
      </c>
      <c r="M19" t="s">
        <v>35</v>
      </c>
      <c r="N19" t="s">
        <v>35</v>
      </c>
      <c r="O19" t="s">
        <v>35</v>
      </c>
      <c r="P19" t="s">
        <v>35</v>
      </c>
      <c r="Q19" t="s">
        <v>35</v>
      </c>
    </row>
    <row r="20" spans="1:17">
      <c r="A20" t="s">
        <v>430</v>
      </c>
      <c r="B20" t="s">
        <v>429</v>
      </c>
      <c r="C20">
        <v>2000</v>
      </c>
      <c r="D20">
        <v>2000</v>
      </c>
      <c r="E20">
        <v>2000</v>
      </c>
      <c r="F20" t="s">
        <v>35</v>
      </c>
      <c r="G20" t="s">
        <v>35</v>
      </c>
      <c r="H20" t="s">
        <v>35</v>
      </c>
      <c r="I20" t="s">
        <v>35</v>
      </c>
      <c r="J20" t="s">
        <v>35</v>
      </c>
      <c r="K20" t="s">
        <v>35</v>
      </c>
      <c r="L20" t="s">
        <v>35</v>
      </c>
      <c r="M20" t="s">
        <v>35</v>
      </c>
      <c r="N20" t="s">
        <v>35</v>
      </c>
      <c r="O20" t="s">
        <v>35</v>
      </c>
      <c r="P20" t="s">
        <v>35</v>
      </c>
      <c r="Q20" t="s">
        <v>35</v>
      </c>
    </row>
    <row r="21" spans="1:17">
      <c r="A21" t="s">
        <v>428</v>
      </c>
      <c r="B21" t="s">
        <v>427</v>
      </c>
      <c r="C21">
        <v>1200</v>
      </c>
      <c r="D21">
        <v>1200</v>
      </c>
      <c r="E21">
        <v>1200</v>
      </c>
      <c r="F21" t="s">
        <v>35</v>
      </c>
      <c r="G21" t="s">
        <v>35</v>
      </c>
      <c r="H21" t="s">
        <v>35</v>
      </c>
      <c r="I21" t="s">
        <v>35</v>
      </c>
      <c r="J21" t="s">
        <v>35</v>
      </c>
      <c r="K21" t="s">
        <v>35</v>
      </c>
      <c r="L21" t="s">
        <v>35</v>
      </c>
      <c r="M21" t="s">
        <v>35</v>
      </c>
      <c r="N21" t="s">
        <v>35</v>
      </c>
      <c r="O21" t="s">
        <v>35</v>
      </c>
      <c r="P21" t="s">
        <v>35</v>
      </c>
      <c r="Q21" t="s">
        <v>35</v>
      </c>
    </row>
    <row r="22" spans="1:17">
      <c r="A22" t="s">
        <v>426</v>
      </c>
      <c r="B22" t="s">
        <v>425</v>
      </c>
      <c r="C22">
        <v>250</v>
      </c>
      <c r="D22">
        <v>250</v>
      </c>
      <c r="E22">
        <v>250</v>
      </c>
      <c r="F22" t="s">
        <v>35</v>
      </c>
      <c r="G22" t="s">
        <v>35</v>
      </c>
      <c r="H22" t="s">
        <v>35</v>
      </c>
      <c r="I22" t="s">
        <v>35</v>
      </c>
      <c r="J22" t="s">
        <v>35</v>
      </c>
      <c r="K22" t="s">
        <v>35</v>
      </c>
      <c r="L22" t="s">
        <v>35</v>
      </c>
      <c r="M22" t="s">
        <v>35</v>
      </c>
      <c r="N22" t="s">
        <v>35</v>
      </c>
      <c r="O22" t="s">
        <v>35</v>
      </c>
      <c r="P22" t="s">
        <v>35</v>
      </c>
      <c r="Q22" t="s">
        <v>35</v>
      </c>
    </row>
    <row r="23" spans="1:17">
      <c r="A23" t="s">
        <v>424</v>
      </c>
      <c r="B23" t="s">
        <v>423</v>
      </c>
      <c r="C23">
        <v>500</v>
      </c>
      <c r="D23">
        <v>500</v>
      </c>
      <c r="E23">
        <v>500</v>
      </c>
      <c r="F23" t="s">
        <v>35</v>
      </c>
      <c r="G23" t="s">
        <v>35</v>
      </c>
      <c r="H23" t="s">
        <v>35</v>
      </c>
      <c r="I23" t="s">
        <v>35</v>
      </c>
      <c r="J23" t="s">
        <v>35</v>
      </c>
      <c r="K23" t="s">
        <v>35</v>
      </c>
      <c r="L23" t="s">
        <v>35</v>
      </c>
      <c r="M23" t="s">
        <v>35</v>
      </c>
      <c r="N23" t="s">
        <v>35</v>
      </c>
      <c r="O23" t="s">
        <v>35</v>
      </c>
      <c r="P23" t="s">
        <v>35</v>
      </c>
      <c r="Q23" t="s">
        <v>35</v>
      </c>
    </row>
    <row r="24" spans="1:17">
      <c r="A24" t="s">
        <v>422</v>
      </c>
      <c r="B24" t="s">
        <v>421</v>
      </c>
      <c r="C24">
        <v>800</v>
      </c>
      <c r="D24">
        <v>800</v>
      </c>
      <c r="E24">
        <v>800</v>
      </c>
      <c r="F24" t="s">
        <v>35</v>
      </c>
      <c r="G24" t="s">
        <v>35</v>
      </c>
      <c r="H24" t="s">
        <v>35</v>
      </c>
      <c r="I24" t="s">
        <v>35</v>
      </c>
      <c r="J24" t="s">
        <v>35</v>
      </c>
      <c r="K24" t="s">
        <v>35</v>
      </c>
      <c r="L24" t="s">
        <v>35</v>
      </c>
      <c r="M24" t="s">
        <v>35</v>
      </c>
      <c r="N24" t="s">
        <v>35</v>
      </c>
      <c r="O24" t="s">
        <v>35</v>
      </c>
      <c r="P24" t="s">
        <v>35</v>
      </c>
      <c r="Q24" t="s">
        <v>35</v>
      </c>
    </row>
    <row r="25" spans="1:17">
      <c r="A25" t="s">
        <v>420</v>
      </c>
      <c r="B25" t="s">
        <v>419</v>
      </c>
      <c r="C25">
        <v>6000</v>
      </c>
      <c r="D25">
        <v>6000</v>
      </c>
      <c r="E25">
        <v>6000</v>
      </c>
      <c r="F25" t="s">
        <v>35</v>
      </c>
      <c r="G25" t="s">
        <v>35</v>
      </c>
      <c r="H25" t="s">
        <v>35</v>
      </c>
      <c r="I25" t="s">
        <v>35</v>
      </c>
      <c r="J25" t="s">
        <v>35</v>
      </c>
      <c r="K25" t="s">
        <v>35</v>
      </c>
      <c r="L25" t="s">
        <v>35</v>
      </c>
      <c r="M25" t="s">
        <v>35</v>
      </c>
      <c r="N25" t="s">
        <v>35</v>
      </c>
      <c r="O25" t="s">
        <v>35</v>
      </c>
      <c r="P25" t="s">
        <v>35</v>
      </c>
      <c r="Q25" t="s">
        <v>35</v>
      </c>
    </row>
    <row r="26" spans="1:17">
      <c r="A26" t="s">
        <v>418</v>
      </c>
      <c r="B26" t="s">
        <v>417</v>
      </c>
      <c r="C26">
        <v>1100</v>
      </c>
      <c r="D26">
        <v>1100</v>
      </c>
      <c r="E26">
        <v>1100</v>
      </c>
      <c r="F26" t="s">
        <v>35</v>
      </c>
      <c r="G26" t="s">
        <v>35</v>
      </c>
      <c r="H26" t="s">
        <v>35</v>
      </c>
      <c r="I26" t="s">
        <v>35</v>
      </c>
      <c r="J26" t="s">
        <v>35</v>
      </c>
      <c r="K26" t="s">
        <v>35</v>
      </c>
      <c r="L26" t="s">
        <v>35</v>
      </c>
      <c r="M26" t="s">
        <v>35</v>
      </c>
      <c r="N26" t="s">
        <v>35</v>
      </c>
      <c r="O26" t="s">
        <v>35</v>
      </c>
      <c r="P26" t="s">
        <v>35</v>
      </c>
      <c r="Q26" t="s">
        <v>35</v>
      </c>
    </row>
    <row r="27" spans="1:17">
      <c r="A27" t="s">
        <v>416</v>
      </c>
      <c r="B27" t="s">
        <v>415</v>
      </c>
      <c r="C27">
        <v>1200</v>
      </c>
      <c r="D27">
        <v>1200</v>
      </c>
      <c r="E27">
        <v>1200</v>
      </c>
      <c r="F27" t="s">
        <v>35</v>
      </c>
      <c r="G27" t="s">
        <v>35</v>
      </c>
      <c r="H27" t="s">
        <v>35</v>
      </c>
      <c r="I27" t="s">
        <v>35</v>
      </c>
      <c r="J27" t="s">
        <v>35</v>
      </c>
      <c r="K27" t="s">
        <v>35</v>
      </c>
      <c r="L27" t="s">
        <v>35</v>
      </c>
      <c r="M27" t="s">
        <v>35</v>
      </c>
      <c r="N27" t="s">
        <v>35</v>
      </c>
      <c r="O27" t="s">
        <v>35</v>
      </c>
      <c r="P27" t="s">
        <v>35</v>
      </c>
      <c r="Q27" t="s">
        <v>35</v>
      </c>
    </row>
    <row r="28" spans="1:17">
      <c r="A28" t="s">
        <v>414</v>
      </c>
      <c r="B28" t="s">
        <v>413</v>
      </c>
      <c r="C28">
        <v>4950</v>
      </c>
      <c r="D28">
        <v>4950</v>
      </c>
      <c r="E28">
        <v>4950</v>
      </c>
      <c r="F28" t="s">
        <v>35</v>
      </c>
      <c r="G28" t="s">
        <v>35</v>
      </c>
      <c r="H28" t="s">
        <v>35</v>
      </c>
      <c r="I28" t="s">
        <v>35</v>
      </c>
      <c r="J28" t="s">
        <v>35</v>
      </c>
      <c r="K28" t="s">
        <v>35</v>
      </c>
      <c r="L28" t="s">
        <v>35</v>
      </c>
      <c r="M28" t="s">
        <v>35</v>
      </c>
      <c r="N28" t="s">
        <v>35</v>
      </c>
      <c r="O28" t="s">
        <v>35</v>
      </c>
      <c r="P28" t="s">
        <v>35</v>
      </c>
      <c r="Q28" t="s">
        <v>35</v>
      </c>
    </row>
    <row r="29" spans="1:17">
      <c r="A29" t="s">
        <v>412</v>
      </c>
      <c r="B29" t="s">
        <v>411</v>
      </c>
      <c r="C29">
        <v>500</v>
      </c>
      <c r="D29">
        <v>500</v>
      </c>
      <c r="E29">
        <v>500</v>
      </c>
      <c r="F29" t="s">
        <v>35</v>
      </c>
      <c r="G29" t="s">
        <v>35</v>
      </c>
      <c r="H29" t="s">
        <v>35</v>
      </c>
      <c r="I29" t="s">
        <v>35</v>
      </c>
      <c r="J29" t="s">
        <v>35</v>
      </c>
      <c r="K29" t="s">
        <v>35</v>
      </c>
      <c r="L29" t="s">
        <v>35</v>
      </c>
      <c r="M29" t="s">
        <v>35</v>
      </c>
      <c r="N29" t="s">
        <v>35</v>
      </c>
      <c r="O29" t="s">
        <v>35</v>
      </c>
      <c r="P29" t="s">
        <v>35</v>
      </c>
      <c r="Q29" t="s">
        <v>35</v>
      </c>
    </row>
    <row r="30" spans="1:17">
      <c r="A30" t="s">
        <v>410</v>
      </c>
      <c r="B30" t="s">
        <v>409</v>
      </c>
      <c r="C30">
        <v>550</v>
      </c>
      <c r="D30">
        <v>550</v>
      </c>
      <c r="E30">
        <v>550</v>
      </c>
      <c r="F30" t="s">
        <v>35</v>
      </c>
      <c r="G30" t="s">
        <v>35</v>
      </c>
      <c r="H30" t="s">
        <v>35</v>
      </c>
      <c r="I30" t="s">
        <v>35</v>
      </c>
      <c r="J30" t="s">
        <v>35</v>
      </c>
      <c r="K30" t="s">
        <v>35</v>
      </c>
      <c r="L30" t="s">
        <v>35</v>
      </c>
      <c r="M30" t="s">
        <v>35</v>
      </c>
      <c r="N30" t="s">
        <v>35</v>
      </c>
      <c r="O30" t="s">
        <v>35</v>
      </c>
      <c r="P30" t="s">
        <v>35</v>
      </c>
      <c r="Q30" t="s">
        <v>35</v>
      </c>
    </row>
    <row r="31" spans="1:17">
      <c r="A31" t="s">
        <v>408</v>
      </c>
      <c r="B31" t="s">
        <v>407</v>
      </c>
      <c r="C31">
        <v>7500</v>
      </c>
      <c r="D31">
        <v>7500</v>
      </c>
      <c r="E31">
        <v>7500</v>
      </c>
      <c r="F31" t="s">
        <v>35</v>
      </c>
      <c r="G31" t="s">
        <v>35</v>
      </c>
      <c r="H31" t="s">
        <v>35</v>
      </c>
      <c r="I31" t="s">
        <v>35</v>
      </c>
      <c r="J31" t="s">
        <v>35</v>
      </c>
      <c r="K31" t="s">
        <v>35</v>
      </c>
      <c r="L31" t="s">
        <v>35</v>
      </c>
      <c r="M31" t="s">
        <v>35</v>
      </c>
      <c r="N31" t="s">
        <v>35</v>
      </c>
      <c r="O31" t="s">
        <v>35</v>
      </c>
      <c r="P31" t="s">
        <v>35</v>
      </c>
      <c r="Q31" t="s">
        <v>35</v>
      </c>
    </row>
    <row r="32" spans="1:17">
      <c r="A32" t="s">
        <v>406</v>
      </c>
      <c r="B32" t="s">
        <v>405</v>
      </c>
      <c r="C32">
        <v>30</v>
      </c>
      <c r="D32">
        <v>30</v>
      </c>
      <c r="E32">
        <v>30</v>
      </c>
      <c r="F32" t="s">
        <v>35</v>
      </c>
      <c r="G32" t="s">
        <v>35</v>
      </c>
      <c r="H32" t="s">
        <v>35</v>
      </c>
      <c r="I32" t="s">
        <v>35</v>
      </c>
      <c r="J32" t="s">
        <v>35</v>
      </c>
      <c r="K32" t="s">
        <v>35</v>
      </c>
      <c r="L32" t="s">
        <v>35</v>
      </c>
      <c r="M32" t="s">
        <v>35</v>
      </c>
      <c r="N32" t="s">
        <v>35</v>
      </c>
      <c r="O32" t="s">
        <v>35</v>
      </c>
      <c r="P32" t="s">
        <v>35</v>
      </c>
      <c r="Q32" t="s">
        <v>35</v>
      </c>
    </row>
    <row r="33" spans="1:17">
      <c r="A33" t="s">
        <v>404</v>
      </c>
      <c r="B33" t="s">
        <v>403</v>
      </c>
      <c r="C33">
        <v>250</v>
      </c>
      <c r="D33">
        <v>250</v>
      </c>
      <c r="E33">
        <v>250</v>
      </c>
      <c r="F33" t="s">
        <v>35</v>
      </c>
      <c r="G33" t="s">
        <v>35</v>
      </c>
      <c r="H33" t="s">
        <v>35</v>
      </c>
      <c r="I33" t="s">
        <v>35</v>
      </c>
      <c r="J33" t="s">
        <v>35</v>
      </c>
      <c r="K33" t="s">
        <v>35</v>
      </c>
      <c r="L33" t="s">
        <v>35</v>
      </c>
      <c r="M33" t="s">
        <v>35</v>
      </c>
      <c r="N33" t="s">
        <v>35</v>
      </c>
      <c r="O33" t="s">
        <v>35</v>
      </c>
      <c r="P33" t="s">
        <v>35</v>
      </c>
      <c r="Q33" t="s">
        <v>35</v>
      </c>
    </row>
    <row r="34" spans="1:17">
      <c r="A34" t="s">
        <v>402</v>
      </c>
      <c r="B34" t="s">
        <v>401</v>
      </c>
      <c r="C34">
        <v>200</v>
      </c>
      <c r="D34">
        <v>200</v>
      </c>
      <c r="E34">
        <v>200</v>
      </c>
      <c r="F34" t="s">
        <v>35</v>
      </c>
      <c r="G34" t="s">
        <v>35</v>
      </c>
      <c r="H34" t="s">
        <v>35</v>
      </c>
      <c r="I34" t="s">
        <v>35</v>
      </c>
      <c r="J34" t="s">
        <v>35</v>
      </c>
      <c r="K34" t="s">
        <v>35</v>
      </c>
      <c r="L34" t="s">
        <v>35</v>
      </c>
      <c r="M34" t="s">
        <v>35</v>
      </c>
      <c r="N34" t="s">
        <v>35</v>
      </c>
      <c r="O34" t="s">
        <v>35</v>
      </c>
      <c r="P34" t="s">
        <v>35</v>
      </c>
      <c r="Q34" t="s">
        <v>35</v>
      </c>
    </row>
    <row r="35" spans="1:17">
      <c r="A35" t="s">
        <v>400</v>
      </c>
      <c r="B35" t="s">
        <v>399</v>
      </c>
      <c r="C35">
        <v>1250</v>
      </c>
      <c r="D35">
        <v>1250</v>
      </c>
      <c r="E35">
        <v>1250</v>
      </c>
      <c r="F35" t="s">
        <v>35</v>
      </c>
      <c r="G35" t="s">
        <v>35</v>
      </c>
      <c r="H35" t="s">
        <v>35</v>
      </c>
      <c r="I35" t="s">
        <v>35</v>
      </c>
      <c r="J35" t="s">
        <v>35</v>
      </c>
      <c r="K35" t="s">
        <v>35</v>
      </c>
      <c r="L35" t="s">
        <v>35</v>
      </c>
      <c r="M35" t="s">
        <v>35</v>
      </c>
      <c r="N35" t="s">
        <v>35</v>
      </c>
      <c r="O35" t="s">
        <v>35</v>
      </c>
      <c r="P35" t="s">
        <v>35</v>
      </c>
      <c r="Q35" t="s">
        <v>35</v>
      </c>
    </row>
    <row r="36" spans="1:17">
      <c r="A36" t="s">
        <v>398</v>
      </c>
      <c r="B36" t="s">
        <v>397</v>
      </c>
      <c r="C36">
        <v>1200</v>
      </c>
      <c r="D36">
        <v>1200</v>
      </c>
      <c r="E36">
        <v>1200</v>
      </c>
      <c r="F36" t="s">
        <v>35</v>
      </c>
      <c r="G36" t="s">
        <v>35</v>
      </c>
      <c r="H36" t="s">
        <v>35</v>
      </c>
      <c r="I36" t="s">
        <v>35</v>
      </c>
      <c r="J36" t="s">
        <v>35</v>
      </c>
      <c r="K36" t="s">
        <v>35</v>
      </c>
      <c r="L36" t="s">
        <v>35</v>
      </c>
      <c r="M36" t="s">
        <v>35</v>
      </c>
      <c r="N36" t="s">
        <v>35</v>
      </c>
      <c r="O36" t="s">
        <v>35</v>
      </c>
      <c r="P36" t="s">
        <v>35</v>
      </c>
      <c r="Q36" t="s">
        <v>35</v>
      </c>
    </row>
    <row r="37" spans="1:17">
      <c r="A37" t="s">
        <v>396</v>
      </c>
      <c r="B37" t="s">
        <v>395</v>
      </c>
      <c r="C37">
        <v>350</v>
      </c>
      <c r="D37">
        <v>350</v>
      </c>
      <c r="E37">
        <v>350</v>
      </c>
      <c r="F37" t="s">
        <v>35</v>
      </c>
      <c r="G37" t="s">
        <v>35</v>
      </c>
      <c r="H37" t="s">
        <v>35</v>
      </c>
      <c r="I37" t="s">
        <v>35</v>
      </c>
      <c r="J37" t="s">
        <v>35</v>
      </c>
      <c r="K37" t="s">
        <v>35</v>
      </c>
      <c r="L37" t="s">
        <v>35</v>
      </c>
      <c r="M37" t="s">
        <v>35</v>
      </c>
      <c r="N37" t="s">
        <v>35</v>
      </c>
      <c r="O37" t="s">
        <v>35</v>
      </c>
      <c r="P37" t="s">
        <v>35</v>
      </c>
      <c r="Q37" t="s">
        <v>35</v>
      </c>
    </row>
    <row r="38" spans="1:17">
      <c r="A38" t="s">
        <v>394</v>
      </c>
      <c r="B38" t="s">
        <v>393</v>
      </c>
      <c r="C38">
        <v>1000</v>
      </c>
      <c r="D38">
        <v>1000</v>
      </c>
      <c r="E38">
        <v>1000</v>
      </c>
      <c r="F38" t="s">
        <v>35</v>
      </c>
      <c r="G38" t="s">
        <v>35</v>
      </c>
      <c r="H38" t="s">
        <v>35</v>
      </c>
      <c r="I38" t="s">
        <v>35</v>
      </c>
      <c r="J38" t="s">
        <v>35</v>
      </c>
      <c r="K38" t="s">
        <v>35</v>
      </c>
      <c r="L38" t="s">
        <v>35</v>
      </c>
      <c r="M38" t="s">
        <v>35</v>
      </c>
      <c r="N38" t="s">
        <v>35</v>
      </c>
      <c r="O38" t="s">
        <v>35</v>
      </c>
      <c r="P38" t="s">
        <v>35</v>
      </c>
      <c r="Q38" t="s">
        <v>35</v>
      </c>
    </row>
    <row r="39" spans="1:17">
      <c r="A39" t="s">
        <v>392</v>
      </c>
      <c r="B39" t="s">
        <v>391</v>
      </c>
      <c r="C39">
        <v>550</v>
      </c>
      <c r="D39">
        <v>550</v>
      </c>
      <c r="E39">
        <v>550</v>
      </c>
      <c r="F39" t="s">
        <v>35</v>
      </c>
      <c r="G39" t="s">
        <v>35</v>
      </c>
      <c r="H39" t="s">
        <v>35</v>
      </c>
      <c r="I39" t="s">
        <v>35</v>
      </c>
      <c r="J39" t="s">
        <v>35</v>
      </c>
      <c r="K39" t="s">
        <v>35</v>
      </c>
      <c r="L39" t="s">
        <v>35</v>
      </c>
      <c r="M39" t="s">
        <v>35</v>
      </c>
      <c r="N39" t="s">
        <v>35</v>
      </c>
      <c r="O39" t="s">
        <v>35</v>
      </c>
      <c r="P39" t="s">
        <v>35</v>
      </c>
      <c r="Q39" t="s">
        <v>35</v>
      </c>
    </row>
    <row r="40" spans="1:17">
      <c r="A40" t="s">
        <v>390</v>
      </c>
      <c r="B40" t="s">
        <v>389</v>
      </c>
      <c r="C40">
        <v>1500</v>
      </c>
      <c r="D40">
        <v>1500</v>
      </c>
      <c r="E40">
        <v>1500</v>
      </c>
      <c r="F40" t="s">
        <v>35</v>
      </c>
      <c r="G40" t="s">
        <v>35</v>
      </c>
      <c r="H40" t="s">
        <v>35</v>
      </c>
      <c r="I40" t="s">
        <v>35</v>
      </c>
      <c r="J40" t="s">
        <v>35</v>
      </c>
      <c r="K40" t="s">
        <v>35</v>
      </c>
      <c r="L40" t="s">
        <v>35</v>
      </c>
      <c r="M40" t="s">
        <v>35</v>
      </c>
      <c r="N40" t="s">
        <v>35</v>
      </c>
      <c r="O40" t="s">
        <v>35</v>
      </c>
      <c r="P40" t="s">
        <v>35</v>
      </c>
      <c r="Q40" t="s">
        <v>35</v>
      </c>
    </row>
    <row r="41" spans="1:17">
      <c r="A41" t="s">
        <v>388</v>
      </c>
      <c r="B41" t="s">
        <v>387</v>
      </c>
      <c r="C41">
        <v>500</v>
      </c>
      <c r="D41">
        <v>500</v>
      </c>
      <c r="E41">
        <v>500</v>
      </c>
      <c r="F41" t="s">
        <v>35</v>
      </c>
      <c r="G41" t="s">
        <v>35</v>
      </c>
      <c r="H41" t="s">
        <v>35</v>
      </c>
      <c r="I41" t="s">
        <v>35</v>
      </c>
      <c r="J41" t="s">
        <v>35</v>
      </c>
      <c r="K41" t="s">
        <v>35</v>
      </c>
      <c r="L41" t="s">
        <v>35</v>
      </c>
      <c r="M41" t="s">
        <v>35</v>
      </c>
      <c r="N41" t="s">
        <v>35</v>
      </c>
      <c r="O41" t="s">
        <v>35</v>
      </c>
      <c r="P41" t="s">
        <v>35</v>
      </c>
      <c r="Q41" t="s">
        <v>35</v>
      </c>
    </row>
    <row r="42" spans="1:17">
      <c r="A42" t="s">
        <v>386</v>
      </c>
      <c r="B42" t="s">
        <v>385</v>
      </c>
      <c r="C42">
        <v>1000</v>
      </c>
      <c r="D42">
        <v>1000</v>
      </c>
      <c r="E42">
        <v>1000</v>
      </c>
      <c r="F42" t="s">
        <v>35</v>
      </c>
      <c r="G42" t="s">
        <v>35</v>
      </c>
      <c r="H42" t="s">
        <v>35</v>
      </c>
      <c r="I42" t="s">
        <v>35</v>
      </c>
      <c r="J42" t="s">
        <v>35</v>
      </c>
      <c r="K42" t="s">
        <v>35</v>
      </c>
      <c r="L42" t="s">
        <v>35</v>
      </c>
      <c r="M42" t="s">
        <v>35</v>
      </c>
      <c r="N42" t="s">
        <v>35</v>
      </c>
      <c r="O42" t="s">
        <v>35</v>
      </c>
      <c r="P42" t="s">
        <v>35</v>
      </c>
      <c r="Q42" t="s">
        <v>35</v>
      </c>
    </row>
    <row r="43" spans="1:17">
      <c r="A43" t="s">
        <v>384</v>
      </c>
      <c r="B43" t="s">
        <v>383</v>
      </c>
      <c r="C43">
        <v>2200</v>
      </c>
      <c r="D43">
        <v>2200</v>
      </c>
      <c r="E43">
        <v>2200</v>
      </c>
      <c r="F43" t="s">
        <v>35</v>
      </c>
      <c r="G43" t="s">
        <v>35</v>
      </c>
      <c r="H43" t="s">
        <v>35</v>
      </c>
      <c r="I43" t="s">
        <v>35</v>
      </c>
      <c r="J43" t="s">
        <v>35</v>
      </c>
      <c r="K43" t="s">
        <v>35</v>
      </c>
      <c r="L43" t="s">
        <v>35</v>
      </c>
      <c r="M43" t="s">
        <v>35</v>
      </c>
      <c r="N43" t="s">
        <v>35</v>
      </c>
      <c r="O43" t="s">
        <v>35</v>
      </c>
      <c r="P43" t="s">
        <v>35</v>
      </c>
      <c r="Q43" t="s">
        <v>35</v>
      </c>
    </row>
    <row r="44" spans="1:17">
      <c r="A44" t="s">
        <v>382</v>
      </c>
      <c r="B44" t="s">
        <v>381</v>
      </c>
      <c r="C44">
        <v>700</v>
      </c>
      <c r="D44">
        <v>700</v>
      </c>
      <c r="E44">
        <v>700</v>
      </c>
      <c r="F44" t="s">
        <v>35</v>
      </c>
      <c r="G44" t="s">
        <v>35</v>
      </c>
      <c r="H44" t="s">
        <v>35</v>
      </c>
      <c r="I44" t="s">
        <v>35</v>
      </c>
      <c r="J44" t="s">
        <v>35</v>
      </c>
      <c r="K44" t="s">
        <v>35</v>
      </c>
      <c r="L44" t="s">
        <v>35</v>
      </c>
      <c r="M44" t="s">
        <v>35</v>
      </c>
      <c r="N44" t="s">
        <v>35</v>
      </c>
      <c r="O44" t="s">
        <v>35</v>
      </c>
      <c r="P44" t="s">
        <v>35</v>
      </c>
      <c r="Q44" t="s">
        <v>35</v>
      </c>
    </row>
    <row r="45" spans="1:17">
      <c r="A45" t="s">
        <v>380</v>
      </c>
      <c r="B45" t="s">
        <v>379</v>
      </c>
      <c r="C45">
        <v>1200</v>
      </c>
      <c r="D45">
        <v>1200</v>
      </c>
      <c r="E45">
        <v>1200</v>
      </c>
      <c r="F45" t="s">
        <v>35</v>
      </c>
      <c r="G45" t="s">
        <v>35</v>
      </c>
      <c r="H45" t="s">
        <v>35</v>
      </c>
      <c r="I45" t="s">
        <v>35</v>
      </c>
      <c r="J45" t="s">
        <v>35</v>
      </c>
      <c r="K45" t="s">
        <v>35</v>
      </c>
      <c r="L45" t="s">
        <v>35</v>
      </c>
      <c r="M45" t="s">
        <v>35</v>
      </c>
      <c r="N45" t="s">
        <v>35</v>
      </c>
      <c r="O45" t="s">
        <v>35</v>
      </c>
      <c r="P45" t="s">
        <v>35</v>
      </c>
      <c r="Q45" t="s">
        <v>35</v>
      </c>
    </row>
    <row r="46" spans="1:17">
      <c r="A46" t="s">
        <v>378</v>
      </c>
      <c r="B46" t="s">
        <v>377</v>
      </c>
      <c r="C46">
        <v>1250</v>
      </c>
      <c r="D46">
        <v>1250</v>
      </c>
      <c r="E46">
        <v>1250</v>
      </c>
      <c r="F46" t="s">
        <v>35</v>
      </c>
      <c r="G46" t="s">
        <v>35</v>
      </c>
      <c r="H46" t="s">
        <v>35</v>
      </c>
      <c r="I46" t="s">
        <v>35</v>
      </c>
      <c r="J46" t="s">
        <v>35</v>
      </c>
      <c r="K46" t="s">
        <v>35</v>
      </c>
      <c r="L46" t="s">
        <v>35</v>
      </c>
      <c r="M46" t="s">
        <v>35</v>
      </c>
      <c r="N46" t="s">
        <v>35</v>
      </c>
      <c r="O46" t="s">
        <v>35</v>
      </c>
      <c r="P46" t="s">
        <v>35</v>
      </c>
      <c r="Q46" t="s">
        <v>35</v>
      </c>
    </row>
    <row r="47" spans="1:17">
      <c r="A47" t="s">
        <v>376</v>
      </c>
      <c r="B47" t="s">
        <v>375</v>
      </c>
      <c r="C47">
        <v>3000</v>
      </c>
      <c r="D47">
        <v>3000</v>
      </c>
      <c r="E47">
        <v>3000</v>
      </c>
      <c r="F47" t="s">
        <v>35</v>
      </c>
      <c r="G47" t="s">
        <v>35</v>
      </c>
      <c r="H47" t="s">
        <v>35</v>
      </c>
      <c r="I47" t="s">
        <v>35</v>
      </c>
      <c r="J47" t="s">
        <v>35</v>
      </c>
      <c r="K47" t="s">
        <v>35</v>
      </c>
      <c r="L47" t="s">
        <v>35</v>
      </c>
      <c r="M47" t="s">
        <v>35</v>
      </c>
      <c r="N47" t="s">
        <v>35</v>
      </c>
      <c r="O47" t="s">
        <v>35</v>
      </c>
      <c r="P47" t="s">
        <v>35</v>
      </c>
      <c r="Q47" t="s">
        <v>35</v>
      </c>
    </row>
    <row r="48" spans="1:17">
      <c r="A48" t="s">
        <v>374</v>
      </c>
      <c r="B48" t="s">
        <v>373</v>
      </c>
      <c r="C48">
        <v>2500</v>
      </c>
      <c r="D48">
        <v>2500</v>
      </c>
      <c r="E48">
        <v>2500</v>
      </c>
      <c r="F48" t="s">
        <v>35</v>
      </c>
      <c r="G48" t="s">
        <v>35</v>
      </c>
      <c r="H48" t="s">
        <v>35</v>
      </c>
      <c r="I48" t="s">
        <v>35</v>
      </c>
      <c r="J48" t="s">
        <v>35</v>
      </c>
      <c r="K48" t="s">
        <v>35</v>
      </c>
      <c r="L48" t="s">
        <v>35</v>
      </c>
      <c r="M48" t="s">
        <v>35</v>
      </c>
      <c r="N48" t="s">
        <v>35</v>
      </c>
      <c r="O48" t="s">
        <v>35</v>
      </c>
      <c r="P48" t="s">
        <v>35</v>
      </c>
      <c r="Q48" t="s">
        <v>35</v>
      </c>
    </row>
    <row r="49" spans="1:17">
      <c r="A49" t="s">
        <v>372</v>
      </c>
      <c r="B49" t="s">
        <v>371</v>
      </c>
      <c r="C49">
        <v>300</v>
      </c>
      <c r="D49">
        <v>300</v>
      </c>
      <c r="E49">
        <v>300</v>
      </c>
      <c r="F49" t="s">
        <v>35</v>
      </c>
      <c r="G49" t="s">
        <v>35</v>
      </c>
      <c r="H49" t="s">
        <v>35</v>
      </c>
      <c r="I49" t="s">
        <v>35</v>
      </c>
      <c r="J49" t="s">
        <v>35</v>
      </c>
      <c r="K49" t="s">
        <v>35</v>
      </c>
      <c r="L49" t="s">
        <v>35</v>
      </c>
      <c r="M49" t="s">
        <v>35</v>
      </c>
      <c r="N49" t="s">
        <v>35</v>
      </c>
      <c r="O49" t="s">
        <v>35</v>
      </c>
      <c r="P49" t="s">
        <v>35</v>
      </c>
      <c r="Q49" t="s">
        <v>35</v>
      </c>
    </row>
    <row r="50" spans="1:17">
      <c r="A50" t="s">
        <v>370</v>
      </c>
      <c r="B50" t="s">
        <v>369</v>
      </c>
      <c r="C50">
        <v>4500</v>
      </c>
      <c r="D50">
        <v>4500</v>
      </c>
      <c r="E50">
        <v>4500</v>
      </c>
      <c r="F50" t="s">
        <v>35</v>
      </c>
      <c r="G50" t="s">
        <v>35</v>
      </c>
      <c r="H50" t="s">
        <v>35</v>
      </c>
      <c r="I50" t="s">
        <v>35</v>
      </c>
      <c r="J50" t="s">
        <v>35</v>
      </c>
      <c r="K50" t="s">
        <v>35</v>
      </c>
      <c r="L50" t="s">
        <v>35</v>
      </c>
      <c r="M50" t="s">
        <v>35</v>
      </c>
      <c r="N50" t="s">
        <v>35</v>
      </c>
      <c r="O50" t="s">
        <v>35</v>
      </c>
      <c r="P50" t="s">
        <v>35</v>
      </c>
      <c r="Q50" t="s">
        <v>35</v>
      </c>
    </row>
    <row r="51" spans="1:17">
      <c r="A51" t="s">
        <v>368</v>
      </c>
      <c r="B51" t="s">
        <v>367</v>
      </c>
      <c r="C51">
        <v>100</v>
      </c>
      <c r="D51">
        <v>100</v>
      </c>
      <c r="E51">
        <v>100</v>
      </c>
      <c r="F51" t="s">
        <v>35</v>
      </c>
      <c r="G51" t="s">
        <v>35</v>
      </c>
      <c r="H51" t="s">
        <v>35</v>
      </c>
      <c r="I51" t="s">
        <v>35</v>
      </c>
      <c r="J51" t="s">
        <v>35</v>
      </c>
      <c r="K51" t="s">
        <v>35</v>
      </c>
      <c r="L51" t="s">
        <v>35</v>
      </c>
      <c r="M51" t="s">
        <v>35</v>
      </c>
      <c r="N51" t="s">
        <v>35</v>
      </c>
      <c r="O51" t="s">
        <v>35</v>
      </c>
      <c r="P51" t="s">
        <v>35</v>
      </c>
      <c r="Q51" t="s">
        <v>35</v>
      </c>
    </row>
    <row r="52" spans="1:17">
      <c r="A52" t="s">
        <v>366</v>
      </c>
      <c r="B52" t="s">
        <v>365</v>
      </c>
      <c r="C52">
        <v>8000</v>
      </c>
      <c r="D52">
        <v>8000</v>
      </c>
      <c r="E52">
        <v>8000</v>
      </c>
      <c r="F52" t="s">
        <v>35</v>
      </c>
      <c r="G52" t="s">
        <v>35</v>
      </c>
      <c r="H52" t="s">
        <v>35</v>
      </c>
      <c r="I52" t="s">
        <v>35</v>
      </c>
      <c r="J52" t="s">
        <v>35</v>
      </c>
      <c r="K52" t="s">
        <v>35</v>
      </c>
      <c r="L52" t="s">
        <v>35</v>
      </c>
      <c r="M52" t="s">
        <v>35</v>
      </c>
      <c r="N52" t="s">
        <v>35</v>
      </c>
      <c r="O52" t="s">
        <v>35</v>
      </c>
      <c r="P52" t="s">
        <v>35</v>
      </c>
      <c r="Q52" t="s">
        <v>35</v>
      </c>
    </row>
    <row r="53" spans="1:17">
      <c r="A53" t="s">
        <v>364</v>
      </c>
      <c r="B53" t="s">
        <v>363</v>
      </c>
      <c r="C53">
        <v>800</v>
      </c>
      <c r="D53">
        <v>800</v>
      </c>
      <c r="E53">
        <v>800</v>
      </c>
      <c r="F53" t="s">
        <v>35</v>
      </c>
      <c r="G53" t="s">
        <v>35</v>
      </c>
      <c r="H53" t="s">
        <v>35</v>
      </c>
      <c r="I53" t="s">
        <v>35</v>
      </c>
      <c r="J53" t="s">
        <v>35</v>
      </c>
      <c r="K53" t="s">
        <v>35</v>
      </c>
      <c r="L53" t="s">
        <v>35</v>
      </c>
      <c r="M53" t="s">
        <v>35</v>
      </c>
      <c r="N53" t="s">
        <v>35</v>
      </c>
      <c r="O53" t="s">
        <v>35</v>
      </c>
      <c r="P53" t="s">
        <v>35</v>
      </c>
      <c r="Q53" t="s">
        <v>35</v>
      </c>
    </row>
    <row r="54" spans="1:17">
      <c r="A54" t="s">
        <v>362</v>
      </c>
      <c r="B54" t="s">
        <v>361</v>
      </c>
      <c r="C54">
        <v>2500</v>
      </c>
      <c r="D54">
        <v>2500</v>
      </c>
      <c r="E54">
        <v>2500</v>
      </c>
      <c r="F54" t="s">
        <v>35</v>
      </c>
      <c r="G54" t="s">
        <v>35</v>
      </c>
      <c r="H54" t="s">
        <v>35</v>
      </c>
      <c r="I54" t="s">
        <v>35</v>
      </c>
      <c r="J54" t="s">
        <v>35</v>
      </c>
      <c r="K54" t="s">
        <v>35</v>
      </c>
      <c r="L54" t="s">
        <v>35</v>
      </c>
      <c r="M54" t="s">
        <v>35</v>
      </c>
      <c r="N54" t="s">
        <v>35</v>
      </c>
      <c r="O54" t="s">
        <v>35</v>
      </c>
      <c r="P54" t="s">
        <v>35</v>
      </c>
      <c r="Q54" t="s">
        <v>35</v>
      </c>
    </row>
    <row r="55" spans="1:17">
      <c r="A55" t="s">
        <v>360</v>
      </c>
      <c r="B55" t="s">
        <v>359</v>
      </c>
      <c r="C55">
        <v>4000</v>
      </c>
      <c r="D55">
        <v>4000</v>
      </c>
      <c r="E55">
        <v>4000</v>
      </c>
      <c r="F55" t="s">
        <v>35</v>
      </c>
      <c r="G55" t="s">
        <v>35</v>
      </c>
      <c r="H55" t="s">
        <v>35</v>
      </c>
      <c r="I55" t="s">
        <v>35</v>
      </c>
      <c r="J55" t="s">
        <v>35</v>
      </c>
      <c r="K55" t="s">
        <v>35</v>
      </c>
      <c r="L55" t="s">
        <v>35</v>
      </c>
      <c r="M55" t="s">
        <v>35</v>
      </c>
      <c r="N55" t="s">
        <v>35</v>
      </c>
      <c r="O55" t="s">
        <v>35</v>
      </c>
      <c r="P55" t="s">
        <v>35</v>
      </c>
      <c r="Q55" t="s">
        <v>35</v>
      </c>
    </row>
    <row r="56" spans="1:17">
      <c r="A56" t="s">
        <v>358</v>
      </c>
      <c r="B56" t="s">
        <v>357</v>
      </c>
      <c r="C56">
        <v>3500</v>
      </c>
      <c r="D56">
        <v>3500</v>
      </c>
      <c r="E56">
        <v>3500</v>
      </c>
      <c r="F56" t="s">
        <v>35</v>
      </c>
      <c r="G56" t="s">
        <v>35</v>
      </c>
      <c r="H56" t="s">
        <v>35</v>
      </c>
      <c r="I56" t="s">
        <v>35</v>
      </c>
      <c r="J56" t="s">
        <v>35</v>
      </c>
      <c r="K56" t="s">
        <v>35</v>
      </c>
      <c r="L56" t="s">
        <v>35</v>
      </c>
      <c r="M56" t="s">
        <v>35</v>
      </c>
      <c r="N56" t="s">
        <v>35</v>
      </c>
      <c r="O56" t="s">
        <v>35</v>
      </c>
      <c r="P56" t="s">
        <v>35</v>
      </c>
      <c r="Q56" t="s">
        <v>35</v>
      </c>
    </row>
    <row r="57" spans="1:17">
      <c r="A57" t="s">
        <v>356</v>
      </c>
      <c r="B57" t="s">
        <v>355</v>
      </c>
      <c r="C57">
        <v>1100</v>
      </c>
      <c r="D57">
        <v>1100</v>
      </c>
      <c r="E57">
        <v>1100</v>
      </c>
      <c r="F57" t="s">
        <v>35</v>
      </c>
      <c r="G57" t="s">
        <v>35</v>
      </c>
      <c r="H57" t="s">
        <v>35</v>
      </c>
      <c r="I57" t="s">
        <v>35</v>
      </c>
      <c r="J57" t="s">
        <v>35</v>
      </c>
      <c r="K57" t="s">
        <v>35</v>
      </c>
      <c r="L57" t="s">
        <v>35</v>
      </c>
      <c r="M57" t="s">
        <v>35</v>
      </c>
      <c r="N57" t="s">
        <v>35</v>
      </c>
      <c r="O57" t="s">
        <v>35</v>
      </c>
      <c r="P57" t="s">
        <v>35</v>
      </c>
      <c r="Q57" t="s">
        <v>35</v>
      </c>
    </row>
    <row r="58" spans="1:17">
      <c r="A58" t="s">
        <v>354</v>
      </c>
      <c r="B58" t="s">
        <v>353</v>
      </c>
      <c r="C58">
        <v>800</v>
      </c>
      <c r="D58">
        <v>800</v>
      </c>
      <c r="E58">
        <v>800</v>
      </c>
      <c r="F58" t="s">
        <v>35</v>
      </c>
      <c r="G58" t="s">
        <v>35</v>
      </c>
      <c r="H58" t="s">
        <v>35</v>
      </c>
      <c r="I58" t="s">
        <v>35</v>
      </c>
      <c r="J58" t="s">
        <v>35</v>
      </c>
      <c r="K58" t="s">
        <v>35</v>
      </c>
      <c r="L58" t="s">
        <v>35</v>
      </c>
      <c r="M58" t="s">
        <v>35</v>
      </c>
      <c r="N58" t="s">
        <v>35</v>
      </c>
      <c r="O58" t="s">
        <v>35</v>
      </c>
      <c r="P58" t="s">
        <v>35</v>
      </c>
      <c r="Q58" t="s">
        <v>35</v>
      </c>
    </row>
    <row r="59" spans="1:17">
      <c r="A59" t="s">
        <v>352</v>
      </c>
      <c r="B59" t="s">
        <v>351</v>
      </c>
      <c r="C59">
        <v>2800</v>
      </c>
      <c r="D59">
        <v>2800</v>
      </c>
      <c r="E59">
        <v>2800</v>
      </c>
      <c r="F59" t="s">
        <v>35</v>
      </c>
      <c r="G59" t="s">
        <v>35</v>
      </c>
      <c r="H59" t="s">
        <v>35</v>
      </c>
      <c r="I59" t="s">
        <v>35</v>
      </c>
      <c r="J59" t="s">
        <v>35</v>
      </c>
      <c r="K59" t="s">
        <v>35</v>
      </c>
      <c r="L59" t="s">
        <v>35</v>
      </c>
      <c r="M59" t="s">
        <v>35</v>
      </c>
      <c r="N59" t="s">
        <v>35</v>
      </c>
      <c r="O59" t="s">
        <v>35</v>
      </c>
      <c r="P59" t="s">
        <v>35</v>
      </c>
      <c r="Q59" t="s">
        <v>35</v>
      </c>
    </row>
    <row r="60" spans="1:17">
      <c r="A60" t="s">
        <v>350</v>
      </c>
      <c r="B60" t="s">
        <v>349</v>
      </c>
      <c r="C60">
        <v>3750</v>
      </c>
      <c r="D60">
        <v>3750</v>
      </c>
      <c r="E60">
        <v>3750</v>
      </c>
      <c r="F60" t="s">
        <v>35</v>
      </c>
      <c r="G60" t="s">
        <v>35</v>
      </c>
      <c r="H60" t="s">
        <v>35</v>
      </c>
      <c r="I60" t="s">
        <v>35</v>
      </c>
      <c r="J60" t="s">
        <v>35</v>
      </c>
      <c r="K60" t="s">
        <v>35</v>
      </c>
      <c r="L60" t="s">
        <v>35</v>
      </c>
      <c r="M60" t="s">
        <v>35</v>
      </c>
      <c r="N60" t="s">
        <v>35</v>
      </c>
      <c r="O60" t="s">
        <v>35</v>
      </c>
      <c r="P60" t="s">
        <v>35</v>
      </c>
      <c r="Q60" t="s">
        <v>35</v>
      </c>
    </row>
    <row r="61" spans="1:17">
      <c r="A61" t="s">
        <v>348</v>
      </c>
      <c r="B61" t="s">
        <v>347</v>
      </c>
      <c r="C61">
        <v>4000</v>
      </c>
      <c r="D61">
        <v>4000</v>
      </c>
      <c r="E61">
        <v>4000</v>
      </c>
      <c r="F61" t="s">
        <v>35</v>
      </c>
      <c r="G61" t="s">
        <v>35</v>
      </c>
      <c r="H61" t="s">
        <v>35</v>
      </c>
      <c r="I61" t="s">
        <v>35</v>
      </c>
      <c r="J61" t="s">
        <v>35</v>
      </c>
      <c r="K61" t="s">
        <v>35</v>
      </c>
      <c r="L61" t="s">
        <v>35</v>
      </c>
      <c r="M61" t="s">
        <v>35</v>
      </c>
      <c r="N61" t="s">
        <v>35</v>
      </c>
      <c r="O61" t="s">
        <v>35</v>
      </c>
      <c r="P61" t="s">
        <v>35</v>
      </c>
      <c r="Q61" t="s">
        <v>35</v>
      </c>
    </row>
    <row r="62" spans="1:17">
      <c r="A62" t="s">
        <v>346</v>
      </c>
      <c r="B62" t="s">
        <v>345</v>
      </c>
      <c r="C62">
        <v>302</v>
      </c>
      <c r="D62">
        <v>302</v>
      </c>
      <c r="E62">
        <v>302</v>
      </c>
      <c r="F62" t="s">
        <v>35</v>
      </c>
      <c r="G62" t="s">
        <v>35</v>
      </c>
      <c r="H62" t="s">
        <v>35</v>
      </c>
      <c r="I62" t="s">
        <v>35</v>
      </c>
      <c r="J62" t="s">
        <v>35</v>
      </c>
      <c r="K62" t="s">
        <v>35</v>
      </c>
      <c r="L62" t="s">
        <v>35</v>
      </c>
      <c r="M62" t="s">
        <v>35</v>
      </c>
      <c r="N62" t="s">
        <v>35</v>
      </c>
      <c r="O62" t="s">
        <v>35</v>
      </c>
      <c r="P62" t="s">
        <v>35</v>
      </c>
      <c r="Q62" t="s">
        <v>35</v>
      </c>
    </row>
    <row r="63" spans="1:17">
      <c r="A63" t="s">
        <v>344</v>
      </c>
      <c r="B63" t="s">
        <v>343</v>
      </c>
      <c r="C63">
        <v>5500</v>
      </c>
      <c r="D63">
        <v>5500</v>
      </c>
      <c r="E63">
        <v>5500</v>
      </c>
      <c r="F63" t="s">
        <v>35</v>
      </c>
      <c r="G63" t="s">
        <v>35</v>
      </c>
      <c r="H63" t="s">
        <v>35</v>
      </c>
      <c r="I63" t="s">
        <v>35</v>
      </c>
      <c r="J63" t="s">
        <v>35</v>
      </c>
      <c r="K63" t="s">
        <v>35</v>
      </c>
      <c r="L63" t="s">
        <v>35</v>
      </c>
      <c r="M63" t="s">
        <v>35</v>
      </c>
      <c r="N63" t="s">
        <v>35</v>
      </c>
      <c r="O63" t="s">
        <v>35</v>
      </c>
      <c r="P63" t="s">
        <v>35</v>
      </c>
      <c r="Q63" t="s">
        <v>35</v>
      </c>
    </row>
    <row r="64" spans="1:17">
      <c r="A64" t="s">
        <v>342</v>
      </c>
      <c r="B64" t="s">
        <v>341</v>
      </c>
      <c r="C64">
        <v>3000</v>
      </c>
      <c r="D64">
        <v>3000</v>
      </c>
      <c r="E64">
        <v>3000</v>
      </c>
      <c r="F64" t="s">
        <v>35</v>
      </c>
      <c r="G64" t="s">
        <v>35</v>
      </c>
      <c r="H64" t="s">
        <v>35</v>
      </c>
      <c r="I64" t="s">
        <v>35</v>
      </c>
      <c r="J64" t="s">
        <v>35</v>
      </c>
      <c r="K64" t="s">
        <v>35</v>
      </c>
      <c r="L64" t="s">
        <v>35</v>
      </c>
      <c r="M64" t="s">
        <v>35</v>
      </c>
      <c r="N64" t="s">
        <v>35</v>
      </c>
      <c r="O64" t="s">
        <v>35</v>
      </c>
      <c r="P64" t="s">
        <v>35</v>
      </c>
      <c r="Q64" t="s">
        <v>35</v>
      </c>
    </row>
    <row r="65" spans="1:17">
      <c r="A65" t="s">
        <v>340</v>
      </c>
      <c r="B65" t="s">
        <v>339</v>
      </c>
      <c r="C65">
        <v>2667</v>
      </c>
      <c r="D65">
        <v>2667</v>
      </c>
      <c r="E65">
        <v>2667</v>
      </c>
      <c r="F65" t="s">
        <v>35</v>
      </c>
      <c r="G65" t="s">
        <v>35</v>
      </c>
      <c r="H65" t="s">
        <v>35</v>
      </c>
      <c r="I65" t="s">
        <v>35</v>
      </c>
      <c r="J65" t="s">
        <v>35</v>
      </c>
      <c r="K65" t="s">
        <v>35</v>
      </c>
      <c r="L65" t="s">
        <v>35</v>
      </c>
      <c r="M65" t="s">
        <v>35</v>
      </c>
      <c r="N65" t="s">
        <v>35</v>
      </c>
      <c r="O65" t="s">
        <v>35</v>
      </c>
      <c r="P65" t="s">
        <v>35</v>
      </c>
      <c r="Q65" t="s">
        <v>35</v>
      </c>
    </row>
    <row r="66" spans="1:17">
      <c r="A66" t="s">
        <v>338</v>
      </c>
      <c r="B66" t="s">
        <v>337</v>
      </c>
      <c r="C66">
        <v>4000</v>
      </c>
      <c r="D66">
        <v>4000</v>
      </c>
      <c r="E66">
        <v>4000</v>
      </c>
      <c r="F66" t="s">
        <v>35</v>
      </c>
      <c r="G66" t="s">
        <v>35</v>
      </c>
      <c r="H66" t="s">
        <v>35</v>
      </c>
      <c r="I66" t="s">
        <v>35</v>
      </c>
      <c r="J66" t="s">
        <v>35</v>
      </c>
      <c r="K66" t="s">
        <v>35</v>
      </c>
      <c r="L66" t="s">
        <v>35</v>
      </c>
      <c r="M66" t="s">
        <v>35</v>
      </c>
      <c r="N66" t="s">
        <v>35</v>
      </c>
      <c r="O66" t="s">
        <v>35</v>
      </c>
      <c r="P66" t="s">
        <v>35</v>
      </c>
      <c r="Q66" t="s">
        <v>35</v>
      </c>
    </row>
    <row r="67" spans="1:17">
      <c r="A67" t="s">
        <v>336</v>
      </c>
      <c r="B67" t="s">
        <v>335</v>
      </c>
      <c r="C67">
        <v>1500</v>
      </c>
      <c r="D67">
        <v>1500</v>
      </c>
      <c r="E67">
        <v>1500</v>
      </c>
      <c r="F67" t="s">
        <v>35</v>
      </c>
      <c r="G67" t="s">
        <v>35</v>
      </c>
      <c r="H67" t="s">
        <v>35</v>
      </c>
      <c r="I67" t="s">
        <v>35</v>
      </c>
      <c r="J67" t="s">
        <v>35</v>
      </c>
      <c r="K67" t="s">
        <v>35</v>
      </c>
      <c r="L67" t="s">
        <v>35</v>
      </c>
      <c r="M67" t="s">
        <v>35</v>
      </c>
      <c r="N67" t="s">
        <v>35</v>
      </c>
      <c r="O67" t="s">
        <v>35</v>
      </c>
      <c r="P67" t="s">
        <v>35</v>
      </c>
      <c r="Q67" t="s">
        <v>35</v>
      </c>
    </row>
    <row r="68" spans="1:17">
      <c r="A68" t="s">
        <v>334</v>
      </c>
      <c r="B68" t="s">
        <v>333</v>
      </c>
      <c r="C68">
        <v>5000</v>
      </c>
      <c r="D68">
        <v>5000</v>
      </c>
      <c r="E68">
        <v>5000</v>
      </c>
      <c r="F68" t="s">
        <v>35</v>
      </c>
      <c r="G68" t="s">
        <v>35</v>
      </c>
      <c r="H68" t="s">
        <v>35</v>
      </c>
      <c r="I68" t="s">
        <v>35</v>
      </c>
      <c r="J68" t="s">
        <v>35</v>
      </c>
      <c r="K68" t="s">
        <v>35</v>
      </c>
      <c r="L68" t="s">
        <v>35</v>
      </c>
      <c r="M68" t="s">
        <v>35</v>
      </c>
      <c r="N68" t="s">
        <v>35</v>
      </c>
      <c r="O68" t="s">
        <v>35</v>
      </c>
      <c r="P68" t="s">
        <v>35</v>
      </c>
      <c r="Q68" t="s">
        <v>35</v>
      </c>
    </row>
    <row r="69" spans="1:17">
      <c r="A69" t="s">
        <v>332</v>
      </c>
      <c r="B69" t="s">
        <v>331</v>
      </c>
      <c r="C69">
        <v>4500</v>
      </c>
      <c r="D69">
        <v>4500</v>
      </c>
      <c r="E69">
        <v>4500</v>
      </c>
      <c r="F69" t="s">
        <v>35</v>
      </c>
      <c r="G69" t="s">
        <v>35</v>
      </c>
      <c r="H69" t="s">
        <v>35</v>
      </c>
      <c r="I69" t="s">
        <v>35</v>
      </c>
      <c r="J69" t="s">
        <v>35</v>
      </c>
      <c r="K69" t="s">
        <v>35</v>
      </c>
      <c r="L69" t="s">
        <v>35</v>
      </c>
      <c r="M69" t="s">
        <v>35</v>
      </c>
      <c r="N69" t="s">
        <v>35</v>
      </c>
      <c r="O69" t="s">
        <v>35</v>
      </c>
      <c r="P69" t="s">
        <v>35</v>
      </c>
      <c r="Q69" t="s">
        <v>35</v>
      </c>
    </row>
    <row r="70" spans="1:17">
      <c r="A70" t="s">
        <v>330</v>
      </c>
      <c r="B70" t="s">
        <v>329</v>
      </c>
      <c r="C70">
        <v>18000</v>
      </c>
      <c r="D70">
        <v>18000</v>
      </c>
      <c r="E70">
        <v>18000</v>
      </c>
      <c r="F70" t="s">
        <v>35</v>
      </c>
      <c r="G70" t="s">
        <v>35</v>
      </c>
      <c r="H70" t="s">
        <v>35</v>
      </c>
      <c r="I70" t="s">
        <v>35</v>
      </c>
      <c r="J70" t="s">
        <v>35</v>
      </c>
      <c r="K70" t="s">
        <v>35</v>
      </c>
      <c r="L70" t="s">
        <v>35</v>
      </c>
      <c r="M70" t="s">
        <v>35</v>
      </c>
      <c r="N70" t="s">
        <v>35</v>
      </c>
      <c r="O70" t="s">
        <v>35</v>
      </c>
      <c r="P70" t="s">
        <v>35</v>
      </c>
      <c r="Q70" t="s">
        <v>35</v>
      </c>
    </row>
    <row r="71" spans="1:17">
      <c r="A71" t="s">
        <v>328</v>
      </c>
      <c r="B71" t="s">
        <v>327</v>
      </c>
      <c r="C71">
        <v>1500</v>
      </c>
      <c r="D71">
        <v>1500</v>
      </c>
      <c r="E71">
        <v>1500</v>
      </c>
      <c r="F71" t="s">
        <v>35</v>
      </c>
      <c r="G71" t="s">
        <v>35</v>
      </c>
      <c r="H71" t="s">
        <v>35</v>
      </c>
      <c r="I71" t="s">
        <v>35</v>
      </c>
      <c r="J71" t="s">
        <v>35</v>
      </c>
      <c r="K71" t="s">
        <v>35</v>
      </c>
      <c r="L71" t="s">
        <v>35</v>
      </c>
      <c r="M71" t="s">
        <v>35</v>
      </c>
      <c r="N71" t="s">
        <v>35</v>
      </c>
      <c r="O71" t="s">
        <v>35</v>
      </c>
      <c r="P71" t="s">
        <v>35</v>
      </c>
      <c r="Q71" t="s">
        <v>35</v>
      </c>
    </row>
    <row r="72" spans="1:17">
      <c r="A72" t="s">
        <v>326</v>
      </c>
      <c r="B72" t="s">
        <v>325</v>
      </c>
      <c r="C72">
        <v>700</v>
      </c>
      <c r="D72">
        <v>700</v>
      </c>
      <c r="E72">
        <v>700</v>
      </c>
      <c r="F72" t="s">
        <v>35</v>
      </c>
      <c r="G72" t="s">
        <v>35</v>
      </c>
      <c r="H72" t="s">
        <v>35</v>
      </c>
      <c r="I72" t="s">
        <v>35</v>
      </c>
      <c r="J72" t="s">
        <v>35</v>
      </c>
      <c r="K72" t="s">
        <v>35</v>
      </c>
      <c r="L72" t="s">
        <v>35</v>
      </c>
      <c r="M72" t="s">
        <v>35</v>
      </c>
      <c r="N72" t="s">
        <v>35</v>
      </c>
      <c r="O72" t="s">
        <v>35</v>
      </c>
      <c r="P72" t="s">
        <v>35</v>
      </c>
      <c r="Q72" t="s">
        <v>35</v>
      </c>
    </row>
    <row r="73" spans="1:17">
      <c r="A73" t="s">
        <v>324</v>
      </c>
      <c r="B73" t="s">
        <v>323</v>
      </c>
      <c r="C73">
        <v>500</v>
      </c>
      <c r="D73">
        <v>500</v>
      </c>
      <c r="E73">
        <v>500</v>
      </c>
      <c r="F73" t="s">
        <v>35</v>
      </c>
      <c r="G73" t="s">
        <v>35</v>
      </c>
      <c r="H73" t="s">
        <v>35</v>
      </c>
      <c r="I73" t="s">
        <v>35</v>
      </c>
      <c r="J73" t="s">
        <v>35</v>
      </c>
      <c r="K73" t="s">
        <v>35</v>
      </c>
      <c r="L73" t="s">
        <v>35</v>
      </c>
      <c r="M73" t="s">
        <v>35</v>
      </c>
      <c r="N73" t="s">
        <v>35</v>
      </c>
      <c r="O73" t="s">
        <v>35</v>
      </c>
      <c r="P73" t="s">
        <v>35</v>
      </c>
      <c r="Q73" t="s">
        <v>35</v>
      </c>
    </row>
    <row r="74" spans="1:17">
      <c r="A74" t="s">
        <v>322</v>
      </c>
      <c r="B74" t="s">
        <v>321</v>
      </c>
      <c r="C74">
        <v>1300</v>
      </c>
      <c r="D74">
        <v>1300</v>
      </c>
      <c r="E74">
        <v>1300</v>
      </c>
      <c r="F74" t="s">
        <v>35</v>
      </c>
      <c r="G74" t="s">
        <v>35</v>
      </c>
      <c r="H74" t="s">
        <v>35</v>
      </c>
      <c r="I74" t="s">
        <v>35</v>
      </c>
      <c r="J74" t="s">
        <v>35</v>
      </c>
      <c r="K74" t="s">
        <v>35</v>
      </c>
      <c r="L74" t="s">
        <v>35</v>
      </c>
      <c r="M74" t="s">
        <v>35</v>
      </c>
      <c r="N74" t="s">
        <v>35</v>
      </c>
      <c r="O74" t="s">
        <v>35</v>
      </c>
      <c r="P74" t="s">
        <v>35</v>
      </c>
      <c r="Q74" t="s">
        <v>35</v>
      </c>
    </row>
    <row r="75" spans="1:17">
      <c r="A75" t="s">
        <v>320</v>
      </c>
      <c r="B75" t="s">
        <v>319</v>
      </c>
      <c r="C75">
        <v>500</v>
      </c>
      <c r="D75">
        <v>500</v>
      </c>
      <c r="E75">
        <v>500</v>
      </c>
      <c r="F75" t="s">
        <v>35</v>
      </c>
      <c r="G75" t="s">
        <v>35</v>
      </c>
      <c r="H75" t="s">
        <v>35</v>
      </c>
      <c r="I75" t="s">
        <v>35</v>
      </c>
      <c r="J75" t="s">
        <v>35</v>
      </c>
      <c r="K75" t="s">
        <v>35</v>
      </c>
      <c r="L75" t="s">
        <v>35</v>
      </c>
      <c r="M75" t="s">
        <v>35</v>
      </c>
      <c r="N75" t="s">
        <v>35</v>
      </c>
      <c r="O75" t="s">
        <v>35</v>
      </c>
      <c r="P75" t="s">
        <v>35</v>
      </c>
      <c r="Q75" t="s">
        <v>35</v>
      </c>
    </row>
    <row r="76" spans="1:17">
      <c r="A76" t="s">
        <v>318</v>
      </c>
      <c r="B76" t="s">
        <v>317</v>
      </c>
      <c r="C76">
        <v>50</v>
      </c>
      <c r="D76">
        <v>50</v>
      </c>
      <c r="E76">
        <v>50</v>
      </c>
      <c r="F76" t="s">
        <v>35</v>
      </c>
      <c r="G76" t="s">
        <v>35</v>
      </c>
      <c r="H76" t="s">
        <v>35</v>
      </c>
      <c r="I76" t="s">
        <v>35</v>
      </c>
      <c r="J76" t="s">
        <v>35</v>
      </c>
      <c r="K76" t="s">
        <v>35</v>
      </c>
      <c r="L76" t="s">
        <v>35</v>
      </c>
      <c r="M76" t="s">
        <v>35</v>
      </c>
      <c r="N76" t="s">
        <v>35</v>
      </c>
      <c r="O76" t="s">
        <v>35</v>
      </c>
      <c r="P76" t="s">
        <v>35</v>
      </c>
      <c r="Q76" t="s">
        <v>35</v>
      </c>
    </row>
    <row r="77" spans="1:17">
      <c r="A77" t="s">
        <v>316</v>
      </c>
      <c r="B77" t="s">
        <v>315</v>
      </c>
      <c r="C77">
        <v>200</v>
      </c>
      <c r="D77">
        <v>200</v>
      </c>
      <c r="E77">
        <v>200</v>
      </c>
      <c r="F77" t="s">
        <v>35</v>
      </c>
      <c r="G77" t="s">
        <v>35</v>
      </c>
      <c r="H77" t="s">
        <v>35</v>
      </c>
      <c r="I77" t="s">
        <v>35</v>
      </c>
      <c r="J77" t="s">
        <v>35</v>
      </c>
      <c r="K77" t="s">
        <v>35</v>
      </c>
      <c r="L77" t="s">
        <v>35</v>
      </c>
      <c r="M77" t="s">
        <v>35</v>
      </c>
      <c r="N77" t="s">
        <v>35</v>
      </c>
      <c r="O77" t="s">
        <v>35</v>
      </c>
      <c r="P77" t="s">
        <v>35</v>
      </c>
      <c r="Q77" t="s">
        <v>35</v>
      </c>
    </row>
    <row r="78" spans="1:17">
      <c r="A78" t="s">
        <v>314</v>
      </c>
      <c r="B78" t="s">
        <v>313</v>
      </c>
      <c r="C78">
        <v>1100</v>
      </c>
      <c r="D78">
        <v>1100</v>
      </c>
      <c r="E78">
        <v>1100</v>
      </c>
      <c r="F78" t="s">
        <v>35</v>
      </c>
      <c r="G78" t="s">
        <v>35</v>
      </c>
      <c r="H78" t="s">
        <v>35</v>
      </c>
      <c r="I78" t="s">
        <v>35</v>
      </c>
      <c r="J78" t="s">
        <v>35</v>
      </c>
      <c r="K78" t="s">
        <v>35</v>
      </c>
      <c r="L78" t="s">
        <v>35</v>
      </c>
      <c r="M78" t="s">
        <v>35</v>
      </c>
      <c r="N78" t="s">
        <v>35</v>
      </c>
      <c r="O78" t="s">
        <v>35</v>
      </c>
      <c r="P78" t="s">
        <v>35</v>
      </c>
      <c r="Q78" t="s">
        <v>35</v>
      </c>
    </row>
    <row r="79" spans="1:17">
      <c r="A79" t="s">
        <v>312</v>
      </c>
      <c r="B79" t="s">
        <v>311</v>
      </c>
      <c r="C79">
        <v>3500</v>
      </c>
      <c r="D79">
        <v>3500</v>
      </c>
      <c r="E79">
        <v>3500</v>
      </c>
      <c r="F79" t="s">
        <v>35</v>
      </c>
      <c r="G79" t="s">
        <v>35</v>
      </c>
      <c r="H79" t="s">
        <v>35</v>
      </c>
      <c r="I79" t="s">
        <v>35</v>
      </c>
      <c r="J79" t="s">
        <v>35</v>
      </c>
      <c r="K79" t="s">
        <v>35</v>
      </c>
      <c r="L79" t="s">
        <v>35</v>
      </c>
      <c r="M79" t="s">
        <v>35</v>
      </c>
      <c r="N79" t="s">
        <v>35</v>
      </c>
      <c r="O79" t="s">
        <v>35</v>
      </c>
      <c r="P79" t="s">
        <v>35</v>
      </c>
      <c r="Q79" t="s">
        <v>35</v>
      </c>
    </row>
    <row r="80" spans="1:17">
      <c r="A80" t="s">
        <v>310</v>
      </c>
      <c r="B80" t="s">
        <v>309</v>
      </c>
      <c r="C80">
        <v>25</v>
      </c>
      <c r="D80">
        <v>25</v>
      </c>
      <c r="E80">
        <v>25</v>
      </c>
      <c r="F80" t="s">
        <v>35</v>
      </c>
      <c r="G80" t="s">
        <v>35</v>
      </c>
      <c r="H80" t="s">
        <v>35</v>
      </c>
      <c r="I80" t="s">
        <v>35</v>
      </c>
      <c r="J80" t="s">
        <v>35</v>
      </c>
      <c r="K80" t="s">
        <v>35</v>
      </c>
      <c r="L80" t="s">
        <v>35</v>
      </c>
      <c r="M80" t="s">
        <v>35</v>
      </c>
      <c r="N80" t="s">
        <v>35</v>
      </c>
      <c r="O80" t="s">
        <v>35</v>
      </c>
      <c r="P80" t="s">
        <v>35</v>
      </c>
      <c r="Q80" t="s">
        <v>35</v>
      </c>
    </row>
    <row r="81" spans="1:17">
      <c r="A81" t="s">
        <v>308</v>
      </c>
      <c r="B81" t="s">
        <v>307</v>
      </c>
      <c r="C81">
        <v>600</v>
      </c>
      <c r="D81">
        <v>600</v>
      </c>
      <c r="E81">
        <v>600</v>
      </c>
      <c r="F81" t="s">
        <v>35</v>
      </c>
      <c r="G81" t="s">
        <v>35</v>
      </c>
      <c r="H81" t="s">
        <v>35</v>
      </c>
      <c r="I81" t="s">
        <v>35</v>
      </c>
      <c r="J81" t="s">
        <v>35</v>
      </c>
      <c r="K81" t="s">
        <v>35</v>
      </c>
      <c r="L81" t="s">
        <v>35</v>
      </c>
      <c r="M81" t="s">
        <v>35</v>
      </c>
      <c r="N81" t="s">
        <v>35</v>
      </c>
      <c r="O81" t="s">
        <v>35</v>
      </c>
      <c r="P81" t="s">
        <v>35</v>
      </c>
      <c r="Q81" t="s">
        <v>35</v>
      </c>
    </row>
    <row r="82" spans="1:17">
      <c r="A82" t="s">
        <v>306</v>
      </c>
      <c r="B82" t="s">
        <v>305</v>
      </c>
      <c r="C82">
        <v>3200</v>
      </c>
      <c r="D82">
        <v>3200</v>
      </c>
      <c r="E82">
        <v>3200</v>
      </c>
      <c r="F82" t="s">
        <v>35</v>
      </c>
      <c r="G82" t="s">
        <v>35</v>
      </c>
      <c r="H82" t="s">
        <v>35</v>
      </c>
      <c r="I82" t="s">
        <v>35</v>
      </c>
      <c r="J82" t="s">
        <v>35</v>
      </c>
      <c r="K82" t="s">
        <v>35</v>
      </c>
      <c r="L82" t="s">
        <v>35</v>
      </c>
      <c r="M82" t="s">
        <v>35</v>
      </c>
      <c r="N82" t="s">
        <v>35</v>
      </c>
      <c r="O82" t="s">
        <v>35</v>
      </c>
      <c r="P82" t="s">
        <v>35</v>
      </c>
      <c r="Q82" t="s">
        <v>35</v>
      </c>
    </row>
    <row r="83" spans="1:17">
      <c r="A83" t="s">
        <v>304</v>
      </c>
      <c r="B83" t="s">
        <v>303</v>
      </c>
      <c r="C83">
        <v>2750</v>
      </c>
      <c r="D83">
        <v>2750</v>
      </c>
      <c r="E83">
        <v>2750</v>
      </c>
      <c r="F83" t="s">
        <v>35</v>
      </c>
      <c r="G83" t="s">
        <v>35</v>
      </c>
      <c r="H83" t="s">
        <v>35</v>
      </c>
      <c r="I83" t="s">
        <v>35</v>
      </c>
      <c r="J83" t="s">
        <v>35</v>
      </c>
      <c r="K83" t="s">
        <v>35</v>
      </c>
      <c r="L83" t="s">
        <v>35</v>
      </c>
      <c r="M83" t="s">
        <v>35</v>
      </c>
      <c r="N83" t="s">
        <v>35</v>
      </c>
      <c r="O83" t="s">
        <v>35</v>
      </c>
      <c r="P83" t="s">
        <v>35</v>
      </c>
      <c r="Q83" t="s">
        <v>35</v>
      </c>
    </row>
    <row r="84" spans="1:17">
      <c r="A84" t="s">
        <v>302</v>
      </c>
      <c r="B84" t="s">
        <v>301</v>
      </c>
      <c r="C84">
        <v>1300</v>
      </c>
      <c r="D84">
        <v>1300</v>
      </c>
      <c r="E84">
        <v>1300</v>
      </c>
      <c r="F84" t="s">
        <v>35</v>
      </c>
      <c r="G84" t="s">
        <v>35</v>
      </c>
      <c r="H84" t="s">
        <v>35</v>
      </c>
      <c r="I84" t="s">
        <v>35</v>
      </c>
      <c r="J84" t="s">
        <v>35</v>
      </c>
      <c r="K84" t="s">
        <v>35</v>
      </c>
      <c r="L84" t="s">
        <v>35</v>
      </c>
      <c r="M84" t="s">
        <v>35</v>
      </c>
      <c r="N84" t="s">
        <v>35</v>
      </c>
      <c r="O84" t="s">
        <v>35</v>
      </c>
      <c r="P84" t="s">
        <v>35</v>
      </c>
      <c r="Q84" t="s">
        <v>35</v>
      </c>
    </row>
    <row r="85" spans="1:17">
      <c r="A85" t="s">
        <v>300</v>
      </c>
      <c r="B85" t="s">
        <v>299</v>
      </c>
      <c r="C85">
        <v>1200</v>
      </c>
      <c r="D85">
        <v>1200</v>
      </c>
      <c r="E85">
        <v>1200</v>
      </c>
      <c r="F85" t="s">
        <v>35</v>
      </c>
      <c r="G85" t="s">
        <v>35</v>
      </c>
      <c r="H85" t="s">
        <v>35</v>
      </c>
      <c r="I85" t="s">
        <v>35</v>
      </c>
      <c r="J85" t="s">
        <v>35</v>
      </c>
      <c r="K85" t="s">
        <v>35</v>
      </c>
      <c r="L85" t="s">
        <v>35</v>
      </c>
      <c r="M85" t="s">
        <v>35</v>
      </c>
      <c r="N85" t="s">
        <v>35</v>
      </c>
      <c r="O85" t="s">
        <v>35</v>
      </c>
      <c r="P85" t="s">
        <v>35</v>
      </c>
      <c r="Q85" t="s">
        <v>35</v>
      </c>
    </row>
    <row r="86" spans="1:17">
      <c r="A86" t="s">
        <v>298</v>
      </c>
      <c r="B86" t="s">
        <v>297</v>
      </c>
      <c r="C86">
        <v>200</v>
      </c>
      <c r="D86">
        <v>200</v>
      </c>
      <c r="E86">
        <v>200</v>
      </c>
      <c r="F86" t="s">
        <v>35</v>
      </c>
      <c r="G86" t="s">
        <v>35</v>
      </c>
      <c r="H86" t="s">
        <v>35</v>
      </c>
      <c r="I86" t="s">
        <v>35</v>
      </c>
      <c r="J86" t="s">
        <v>35</v>
      </c>
      <c r="K86" t="s">
        <v>35</v>
      </c>
      <c r="L86" t="s">
        <v>35</v>
      </c>
      <c r="M86" t="s">
        <v>35</v>
      </c>
      <c r="N86" t="s">
        <v>35</v>
      </c>
      <c r="O86" t="s">
        <v>35</v>
      </c>
      <c r="P86" t="s">
        <v>35</v>
      </c>
      <c r="Q86" t="s">
        <v>35</v>
      </c>
    </row>
    <row r="87" spans="1:17">
      <c r="A87" t="s">
        <v>296</v>
      </c>
      <c r="B87" t="s">
        <v>295</v>
      </c>
      <c r="C87">
        <v>10000</v>
      </c>
      <c r="D87">
        <v>10000</v>
      </c>
      <c r="E87">
        <v>10000</v>
      </c>
      <c r="F87" t="s">
        <v>35</v>
      </c>
      <c r="G87" t="s">
        <v>35</v>
      </c>
      <c r="H87" t="s">
        <v>35</v>
      </c>
      <c r="I87" t="s">
        <v>35</v>
      </c>
      <c r="J87" t="s">
        <v>35</v>
      </c>
      <c r="K87" t="s">
        <v>35</v>
      </c>
      <c r="L87" t="s">
        <v>35</v>
      </c>
      <c r="M87" t="s">
        <v>35</v>
      </c>
      <c r="N87" t="s">
        <v>35</v>
      </c>
      <c r="O87" t="s">
        <v>35</v>
      </c>
      <c r="P87" t="s">
        <v>35</v>
      </c>
      <c r="Q87" t="s">
        <v>35</v>
      </c>
    </row>
    <row r="88" spans="1:17">
      <c r="A88" t="s">
        <v>294</v>
      </c>
      <c r="B88" t="s">
        <v>293</v>
      </c>
      <c r="C88">
        <v>700</v>
      </c>
      <c r="D88">
        <v>700</v>
      </c>
      <c r="E88">
        <v>700</v>
      </c>
      <c r="F88" t="s">
        <v>35</v>
      </c>
      <c r="G88" t="s">
        <v>35</v>
      </c>
      <c r="H88" t="s">
        <v>35</v>
      </c>
      <c r="I88" t="s">
        <v>35</v>
      </c>
      <c r="J88" t="s">
        <v>35</v>
      </c>
      <c r="K88" t="s">
        <v>35</v>
      </c>
      <c r="L88" t="s">
        <v>35</v>
      </c>
      <c r="M88" t="s">
        <v>35</v>
      </c>
      <c r="N88" t="s">
        <v>35</v>
      </c>
      <c r="O88" t="s">
        <v>35</v>
      </c>
      <c r="P88" t="s">
        <v>35</v>
      </c>
      <c r="Q88" t="s">
        <v>35</v>
      </c>
    </row>
    <row r="89" spans="1:17">
      <c r="A89" t="s">
        <v>292</v>
      </c>
      <c r="B89" t="s">
        <v>291</v>
      </c>
      <c r="C89">
        <v>1200</v>
      </c>
      <c r="D89">
        <v>1200</v>
      </c>
      <c r="E89">
        <v>1200</v>
      </c>
      <c r="F89" t="s">
        <v>35</v>
      </c>
      <c r="G89" t="s">
        <v>35</v>
      </c>
      <c r="H89" t="s">
        <v>35</v>
      </c>
      <c r="I89" t="s">
        <v>35</v>
      </c>
      <c r="J89" t="s">
        <v>35</v>
      </c>
      <c r="K89" t="s">
        <v>35</v>
      </c>
      <c r="L89" t="s">
        <v>35</v>
      </c>
      <c r="M89" t="s">
        <v>35</v>
      </c>
      <c r="N89" t="s">
        <v>35</v>
      </c>
      <c r="O89" t="s">
        <v>35</v>
      </c>
      <c r="P89" t="s">
        <v>35</v>
      </c>
      <c r="Q89" t="s">
        <v>35</v>
      </c>
    </row>
    <row r="90" spans="1:17">
      <c r="A90" t="s">
        <v>290</v>
      </c>
      <c r="B90" t="s">
        <v>289</v>
      </c>
      <c r="C90">
        <v>7000</v>
      </c>
      <c r="D90">
        <v>7000</v>
      </c>
      <c r="E90">
        <v>7000</v>
      </c>
      <c r="F90" t="s">
        <v>35</v>
      </c>
      <c r="G90" t="s">
        <v>35</v>
      </c>
      <c r="H90" t="s">
        <v>35</v>
      </c>
      <c r="I90" t="s">
        <v>35</v>
      </c>
      <c r="J90" t="s">
        <v>35</v>
      </c>
      <c r="K90" t="s">
        <v>35</v>
      </c>
      <c r="L90" t="s">
        <v>35</v>
      </c>
      <c r="M90" t="s">
        <v>35</v>
      </c>
      <c r="N90" t="s">
        <v>35</v>
      </c>
      <c r="O90" t="s">
        <v>35</v>
      </c>
      <c r="P90" t="s">
        <v>35</v>
      </c>
      <c r="Q90" t="s">
        <v>35</v>
      </c>
    </row>
    <row r="91" spans="1:17">
      <c r="A91" t="s">
        <v>288</v>
      </c>
      <c r="B91" t="s">
        <v>287</v>
      </c>
      <c r="C91">
        <v>13200</v>
      </c>
      <c r="D91">
        <v>13200</v>
      </c>
      <c r="E91">
        <v>13200</v>
      </c>
      <c r="F91" t="s">
        <v>35</v>
      </c>
      <c r="G91" t="s">
        <v>35</v>
      </c>
      <c r="H91" t="s">
        <v>35</v>
      </c>
      <c r="I91" t="s">
        <v>35</v>
      </c>
      <c r="J91" t="s">
        <v>35</v>
      </c>
      <c r="K91" t="s">
        <v>35</v>
      </c>
      <c r="L91" t="s">
        <v>35</v>
      </c>
      <c r="M91" t="s">
        <v>35</v>
      </c>
      <c r="N91" t="s">
        <v>35</v>
      </c>
      <c r="O91" t="s">
        <v>35</v>
      </c>
      <c r="P91" t="s">
        <v>35</v>
      </c>
      <c r="Q91" t="s">
        <v>35</v>
      </c>
    </row>
    <row r="92" spans="1:17">
      <c r="A92" t="s">
        <v>286</v>
      </c>
      <c r="B92" t="s">
        <v>285</v>
      </c>
      <c r="C92">
        <v>2750</v>
      </c>
      <c r="D92">
        <v>2750</v>
      </c>
      <c r="E92">
        <v>2750</v>
      </c>
      <c r="F92" t="s">
        <v>35</v>
      </c>
      <c r="G92" t="s">
        <v>35</v>
      </c>
      <c r="H92" t="s">
        <v>35</v>
      </c>
      <c r="I92" t="s">
        <v>35</v>
      </c>
      <c r="J92" t="s">
        <v>35</v>
      </c>
      <c r="K92" t="s">
        <v>35</v>
      </c>
      <c r="L92" t="s">
        <v>35</v>
      </c>
      <c r="M92" t="s">
        <v>35</v>
      </c>
      <c r="N92" t="s">
        <v>35</v>
      </c>
      <c r="O92" t="s">
        <v>35</v>
      </c>
      <c r="P92" t="s">
        <v>35</v>
      </c>
      <c r="Q92" t="s">
        <v>35</v>
      </c>
    </row>
    <row r="93" spans="1:17">
      <c r="A93" t="s">
        <v>284</v>
      </c>
      <c r="B93" t="s">
        <v>283</v>
      </c>
      <c r="C93">
        <v>2000</v>
      </c>
      <c r="D93">
        <v>2000</v>
      </c>
      <c r="E93">
        <v>2000</v>
      </c>
      <c r="F93" t="s">
        <v>35</v>
      </c>
      <c r="G93" t="s">
        <v>35</v>
      </c>
      <c r="H93" t="s">
        <v>35</v>
      </c>
      <c r="I93" t="s">
        <v>35</v>
      </c>
      <c r="J93" t="s">
        <v>35</v>
      </c>
      <c r="K93" t="s">
        <v>35</v>
      </c>
      <c r="L93" t="s">
        <v>35</v>
      </c>
      <c r="M93" t="s">
        <v>35</v>
      </c>
      <c r="N93" t="s">
        <v>35</v>
      </c>
      <c r="O93" t="s">
        <v>35</v>
      </c>
      <c r="P93" t="s">
        <v>35</v>
      </c>
      <c r="Q93" t="s">
        <v>35</v>
      </c>
    </row>
    <row r="94" spans="1:17">
      <c r="A94" t="s">
        <v>282</v>
      </c>
      <c r="B94" t="s">
        <v>281</v>
      </c>
      <c r="C94">
        <v>1200</v>
      </c>
      <c r="D94">
        <v>1200</v>
      </c>
      <c r="E94">
        <v>1200</v>
      </c>
      <c r="F94" t="s">
        <v>35</v>
      </c>
      <c r="G94" t="s">
        <v>35</v>
      </c>
      <c r="H94" t="s">
        <v>35</v>
      </c>
      <c r="I94" t="s">
        <v>35</v>
      </c>
      <c r="J94" t="s">
        <v>35</v>
      </c>
      <c r="K94" t="s">
        <v>35</v>
      </c>
      <c r="L94" t="s">
        <v>35</v>
      </c>
      <c r="M94" t="s">
        <v>35</v>
      </c>
      <c r="N94" t="s">
        <v>35</v>
      </c>
      <c r="O94" t="s">
        <v>35</v>
      </c>
      <c r="P94" t="s">
        <v>35</v>
      </c>
      <c r="Q94" t="s">
        <v>35</v>
      </c>
    </row>
    <row r="95" spans="1:17">
      <c r="A95" t="s">
        <v>280</v>
      </c>
      <c r="B95" t="s">
        <v>279</v>
      </c>
      <c r="C95">
        <v>2500</v>
      </c>
      <c r="D95">
        <v>2500</v>
      </c>
      <c r="E95">
        <v>2500</v>
      </c>
      <c r="F95" t="s">
        <v>35</v>
      </c>
      <c r="G95" t="s">
        <v>35</v>
      </c>
      <c r="H95" t="s">
        <v>35</v>
      </c>
      <c r="I95" t="s">
        <v>35</v>
      </c>
      <c r="J95" t="s">
        <v>35</v>
      </c>
      <c r="K95" t="s">
        <v>35</v>
      </c>
      <c r="L95" t="s">
        <v>35</v>
      </c>
      <c r="M95" t="s">
        <v>35</v>
      </c>
      <c r="N95" t="s">
        <v>35</v>
      </c>
      <c r="O95" t="s">
        <v>35</v>
      </c>
      <c r="P95" t="s">
        <v>35</v>
      </c>
      <c r="Q95" t="s">
        <v>35</v>
      </c>
    </row>
    <row r="96" spans="1:17">
      <c r="A96" t="s">
        <v>278</v>
      </c>
      <c r="B96" t="s">
        <v>277</v>
      </c>
      <c r="C96">
        <v>2400</v>
      </c>
      <c r="D96">
        <v>2400</v>
      </c>
      <c r="E96">
        <v>2400</v>
      </c>
      <c r="F96" t="s">
        <v>35</v>
      </c>
      <c r="G96" t="s">
        <v>35</v>
      </c>
      <c r="H96" t="s">
        <v>35</v>
      </c>
      <c r="I96" t="s">
        <v>35</v>
      </c>
      <c r="J96" t="s">
        <v>35</v>
      </c>
      <c r="K96" t="s">
        <v>35</v>
      </c>
      <c r="L96" t="s">
        <v>35</v>
      </c>
      <c r="M96" t="s">
        <v>35</v>
      </c>
      <c r="N96" t="s">
        <v>35</v>
      </c>
      <c r="O96" t="s">
        <v>35</v>
      </c>
      <c r="P96" t="s">
        <v>35</v>
      </c>
      <c r="Q96" t="s">
        <v>35</v>
      </c>
    </row>
    <row r="97" spans="1:17">
      <c r="A97" t="s">
        <v>276</v>
      </c>
      <c r="B97" t="s">
        <v>275</v>
      </c>
      <c r="C97">
        <v>2250</v>
      </c>
      <c r="D97">
        <v>2250</v>
      </c>
      <c r="E97">
        <v>2250</v>
      </c>
      <c r="F97" t="s">
        <v>35</v>
      </c>
      <c r="G97" t="s">
        <v>35</v>
      </c>
      <c r="H97" t="s">
        <v>35</v>
      </c>
      <c r="I97" t="s">
        <v>35</v>
      </c>
      <c r="J97" t="s">
        <v>35</v>
      </c>
      <c r="K97" t="s">
        <v>35</v>
      </c>
      <c r="L97" t="s">
        <v>35</v>
      </c>
      <c r="M97" t="s">
        <v>35</v>
      </c>
      <c r="N97" t="s">
        <v>35</v>
      </c>
      <c r="O97" t="s">
        <v>35</v>
      </c>
      <c r="P97" t="s">
        <v>35</v>
      </c>
      <c r="Q97" t="s">
        <v>35</v>
      </c>
    </row>
    <row r="98" spans="1:17">
      <c r="A98" t="s">
        <v>274</v>
      </c>
      <c r="B98" t="s">
        <v>273</v>
      </c>
      <c r="C98">
        <v>500</v>
      </c>
      <c r="D98">
        <v>500</v>
      </c>
      <c r="E98">
        <v>500</v>
      </c>
      <c r="F98" t="s">
        <v>35</v>
      </c>
      <c r="G98" t="s">
        <v>35</v>
      </c>
      <c r="H98" t="s">
        <v>35</v>
      </c>
      <c r="I98" t="s">
        <v>35</v>
      </c>
      <c r="J98" t="s">
        <v>35</v>
      </c>
      <c r="K98" t="s">
        <v>35</v>
      </c>
      <c r="L98" t="s">
        <v>35</v>
      </c>
      <c r="M98" t="s">
        <v>35</v>
      </c>
      <c r="N98" t="s">
        <v>35</v>
      </c>
      <c r="O98" t="s">
        <v>35</v>
      </c>
      <c r="P98" t="s">
        <v>35</v>
      </c>
      <c r="Q98" t="s">
        <v>35</v>
      </c>
    </row>
    <row r="99" spans="1:17">
      <c r="A99" t="s">
        <v>272</v>
      </c>
      <c r="B99" t="s">
        <v>271</v>
      </c>
      <c r="C99">
        <v>9000</v>
      </c>
      <c r="D99">
        <v>9000</v>
      </c>
      <c r="E99">
        <v>9000</v>
      </c>
      <c r="F99" t="s">
        <v>35</v>
      </c>
      <c r="G99" t="s">
        <v>35</v>
      </c>
      <c r="H99" t="s">
        <v>35</v>
      </c>
      <c r="I99" t="s">
        <v>35</v>
      </c>
      <c r="J99" t="s">
        <v>35</v>
      </c>
      <c r="K99" t="s">
        <v>35</v>
      </c>
      <c r="L99" t="s">
        <v>35</v>
      </c>
      <c r="M99" t="s">
        <v>35</v>
      </c>
      <c r="N99" t="s">
        <v>35</v>
      </c>
      <c r="O99" t="s">
        <v>35</v>
      </c>
      <c r="P99" t="s">
        <v>35</v>
      </c>
      <c r="Q99" t="s">
        <v>35</v>
      </c>
    </row>
    <row r="100" spans="1:17">
      <c r="A100" t="s">
        <v>270</v>
      </c>
      <c r="B100" t="s">
        <v>269</v>
      </c>
      <c r="C100">
        <v>3000</v>
      </c>
      <c r="D100">
        <v>3000</v>
      </c>
      <c r="E100">
        <v>3000</v>
      </c>
      <c r="F100" t="s">
        <v>35</v>
      </c>
      <c r="G100" t="s">
        <v>35</v>
      </c>
      <c r="H100" t="s">
        <v>35</v>
      </c>
      <c r="I100" t="s">
        <v>35</v>
      </c>
      <c r="J100" t="s">
        <v>35</v>
      </c>
      <c r="K100" t="s">
        <v>35</v>
      </c>
      <c r="L100" t="s">
        <v>35</v>
      </c>
      <c r="M100" t="s">
        <v>35</v>
      </c>
      <c r="N100" t="s">
        <v>35</v>
      </c>
      <c r="O100" t="s">
        <v>35</v>
      </c>
      <c r="P100" t="s">
        <v>35</v>
      </c>
      <c r="Q100" t="s">
        <v>35</v>
      </c>
    </row>
    <row r="101" spans="1:17">
      <c r="A101" t="s">
        <v>268</v>
      </c>
      <c r="B101" t="s">
        <v>267</v>
      </c>
      <c r="C101">
        <v>500</v>
      </c>
      <c r="D101">
        <v>500</v>
      </c>
      <c r="E101">
        <v>500</v>
      </c>
      <c r="F101" t="s">
        <v>35</v>
      </c>
      <c r="G101" t="s">
        <v>35</v>
      </c>
      <c r="H101" t="s">
        <v>35</v>
      </c>
      <c r="I101" t="s">
        <v>35</v>
      </c>
      <c r="J101" t="s">
        <v>35</v>
      </c>
      <c r="K101" t="s">
        <v>35</v>
      </c>
      <c r="L101" t="s">
        <v>35</v>
      </c>
      <c r="M101" t="s">
        <v>35</v>
      </c>
      <c r="N101" t="s">
        <v>35</v>
      </c>
      <c r="O101" t="s">
        <v>35</v>
      </c>
      <c r="P101" t="s">
        <v>35</v>
      </c>
      <c r="Q101" t="s">
        <v>35</v>
      </c>
    </row>
    <row r="102" spans="1:17">
      <c r="A102" t="s">
        <v>266</v>
      </c>
      <c r="B102" t="s">
        <v>265</v>
      </c>
      <c r="C102">
        <v>4500</v>
      </c>
      <c r="D102">
        <v>4500</v>
      </c>
      <c r="E102">
        <v>4500</v>
      </c>
      <c r="F102" t="s">
        <v>35</v>
      </c>
      <c r="G102" t="s">
        <v>35</v>
      </c>
      <c r="H102" t="s">
        <v>35</v>
      </c>
      <c r="I102" t="s">
        <v>35</v>
      </c>
      <c r="J102" t="s">
        <v>35</v>
      </c>
      <c r="K102" t="s">
        <v>35</v>
      </c>
      <c r="L102" t="s">
        <v>35</v>
      </c>
      <c r="M102" t="s">
        <v>35</v>
      </c>
      <c r="N102" t="s">
        <v>35</v>
      </c>
      <c r="O102" t="s">
        <v>35</v>
      </c>
      <c r="P102" t="s">
        <v>35</v>
      </c>
      <c r="Q102" t="s">
        <v>35</v>
      </c>
    </row>
    <row r="103" spans="1:17">
      <c r="A103" t="s">
        <v>264</v>
      </c>
      <c r="B103" t="s">
        <v>263</v>
      </c>
      <c r="C103">
        <v>3500</v>
      </c>
      <c r="D103">
        <v>3500</v>
      </c>
      <c r="E103">
        <v>3500</v>
      </c>
      <c r="F103" t="s">
        <v>35</v>
      </c>
      <c r="G103" t="s">
        <v>35</v>
      </c>
      <c r="H103" t="s">
        <v>35</v>
      </c>
      <c r="I103" t="s">
        <v>35</v>
      </c>
      <c r="J103" t="s">
        <v>35</v>
      </c>
      <c r="K103" t="s">
        <v>35</v>
      </c>
      <c r="L103" t="s">
        <v>35</v>
      </c>
      <c r="M103" t="s">
        <v>35</v>
      </c>
      <c r="N103" t="s">
        <v>35</v>
      </c>
      <c r="O103" t="s">
        <v>35</v>
      </c>
      <c r="P103" t="s">
        <v>35</v>
      </c>
      <c r="Q103" t="s">
        <v>35</v>
      </c>
    </row>
    <row r="104" spans="1:17">
      <c r="A104" t="s">
        <v>262</v>
      </c>
      <c r="B104" t="s">
        <v>261</v>
      </c>
      <c r="C104">
        <v>1600</v>
      </c>
      <c r="D104">
        <v>1600</v>
      </c>
      <c r="E104">
        <v>1600</v>
      </c>
      <c r="F104" t="s">
        <v>35</v>
      </c>
      <c r="G104" t="s">
        <v>35</v>
      </c>
      <c r="H104" t="s">
        <v>35</v>
      </c>
      <c r="I104" t="s">
        <v>35</v>
      </c>
      <c r="J104" t="s">
        <v>35</v>
      </c>
      <c r="K104" t="s">
        <v>35</v>
      </c>
      <c r="L104" t="s">
        <v>35</v>
      </c>
      <c r="M104" t="s">
        <v>35</v>
      </c>
      <c r="N104" t="s">
        <v>35</v>
      </c>
      <c r="O104" t="s">
        <v>35</v>
      </c>
      <c r="P104" t="s">
        <v>35</v>
      </c>
      <c r="Q104" t="s">
        <v>35</v>
      </c>
    </row>
    <row r="105" spans="1:17">
      <c r="A105" t="s">
        <v>260</v>
      </c>
      <c r="B105" t="s">
        <v>259</v>
      </c>
      <c r="C105">
        <v>1500</v>
      </c>
      <c r="D105">
        <v>1500</v>
      </c>
      <c r="E105">
        <v>1500</v>
      </c>
      <c r="F105" t="s">
        <v>35</v>
      </c>
      <c r="G105" t="s">
        <v>35</v>
      </c>
      <c r="H105" t="s">
        <v>35</v>
      </c>
      <c r="I105" t="s">
        <v>35</v>
      </c>
      <c r="J105" t="s">
        <v>35</v>
      </c>
      <c r="K105" t="s">
        <v>35</v>
      </c>
      <c r="L105" t="s">
        <v>35</v>
      </c>
      <c r="M105" t="s">
        <v>35</v>
      </c>
      <c r="N105" t="s">
        <v>35</v>
      </c>
      <c r="O105" t="s">
        <v>35</v>
      </c>
      <c r="P105" t="s">
        <v>35</v>
      </c>
      <c r="Q105" t="s">
        <v>35</v>
      </c>
    </row>
    <row r="106" spans="1:17">
      <c r="A106" t="s">
        <v>258</v>
      </c>
      <c r="B106" t="s">
        <v>257</v>
      </c>
      <c r="C106">
        <v>4000</v>
      </c>
      <c r="D106">
        <v>4000</v>
      </c>
      <c r="E106">
        <v>4000</v>
      </c>
      <c r="F106" t="s">
        <v>35</v>
      </c>
      <c r="G106" t="s">
        <v>35</v>
      </c>
      <c r="H106" t="s">
        <v>35</v>
      </c>
      <c r="I106" t="s">
        <v>35</v>
      </c>
      <c r="J106" t="s">
        <v>35</v>
      </c>
      <c r="K106" t="s">
        <v>35</v>
      </c>
      <c r="L106" t="s">
        <v>35</v>
      </c>
      <c r="M106" t="s">
        <v>35</v>
      </c>
      <c r="N106" t="s">
        <v>35</v>
      </c>
      <c r="O106" t="s">
        <v>35</v>
      </c>
      <c r="P106" t="s">
        <v>35</v>
      </c>
      <c r="Q106" t="s">
        <v>35</v>
      </c>
    </row>
    <row r="107" spans="1:17">
      <c r="A107" t="s">
        <v>256</v>
      </c>
      <c r="B107" t="s">
        <v>255</v>
      </c>
      <c r="C107">
        <v>4500</v>
      </c>
      <c r="D107">
        <v>4500</v>
      </c>
      <c r="E107">
        <v>4500</v>
      </c>
      <c r="F107" t="s">
        <v>35</v>
      </c>
      <c r="G107" t="s">
        <v>35</v>
      </c>
      <c r="H107" t="s">
        <v>35</v>
      </c>
      <c r="I107" t="s">
        <v>35</v>
      </c>
      <c r="J107" t="s">
        <v>35</v>
      </c>
      <c r="K107" t="s">
        <v>35</v>
      </c>
      <c r="L107" t="s">
        <v>35</v>
      </c>
      <c r="M107" t="s">
        <v>35</v>
      </c>
      <c r="N107" t="s">
        <v>35</v>
      </c>
      <c r="O107" t="s">
        <v>35</v>
      </c>
      <c r="P107" t="s">
        <v>35</v>
      </c>
      <c r="Q107" t="s">
        <v>35</v>
      </c>
    </row>
    <row r="108" spans="1:17">
      <c r="A108" t="s">
        <v>254</v>
      </c>
      <c r="B108" t="s">
        <v>253</v>
      </c>
      <c r="C108">
        <v>750</v>
      </c>
      <c r="D108">
        <v>750</v>
      </c>
      <c r="E108">
        <v>750</v>
      </c>
      <c r="F108" t="s">
        <v>35</v>
      </c>
      <c r="G108" t="s">
        <v>35</v>
      </c>
      <c r="H108" t="s">
        <v>35</v>
      </c>
      <c r="I108" t="s">
        <v>35</v>
      </c>
      <c r="J108" t="s">
        <v>35</v>
      </c>
      <c r="K108" t="s">
        <v>35</v>
      </c>
      <c r="L108" t="s">
        <v>35</v>
      </c>
      <c r="M108" t="s">
        <v>35</v>
      </c>
      <c r="N108" t="s">
        <v>35</v>
      </c>
      <c r="O108" t="s">
        <v>35</v>
      </c>
      <c r="P108" t="s">
        <v>35</v>
      </c>
      <c r="Q108" t="s">
        <v>35</v>
      </c>
    </row>
    <row r="109" spans="1:17">
      <c r="A109" t="s">
        <v>252</v>
      </c>
      <c r="B109" t="s">
        <v>251</v>
      </c>
      <c r="C109">
        <v>1250</v>
      </c>
      <c r="D109">
        <v>1250</v>
      </c>
      <c r="E109">
        <v>1250</v>
      </c>
      <c r="F109" t="s">
        <v>35</v>
      </c>
      <c r="G109" t="s">
        <v>35</v>
      </c>
      <c r="H109" t="s">
        <v>35</v>
      </c>
      <c r="I109" t="s">
        <v>35</v>
      </c>
      <c r="J109" t="s">
        <v>35</v>
      </c>
      <c r="K109" t="s">
        <v>35</v>
      </c>
      <c r="L109" t="s">
        <v>35</v>
      </c>
      <c r="M109" t="s">
        <v>35</v>
      </c>
      <c r="N109" t="s">
        <v>35</v>
      </c>
      <c r="O109" t="s">
        <v>35</v>
      </c>
      <c r="P109" t="s">
        <v>35</v>
      </c>
      <c r="Q109" t="s">
        <v>35</v>
      </c>
    </row>
    <row r="110" spans="1:17">
      <c r="A110" t="s">
        <v>250</v>
      </c>
      <c r="B110" t="s">
        <v>249</v>
      </c>
      <c r="C110">
        <v>700</v>
      </c>
      <c r="D110">
        <v>700</v>
      </c>
      <c r="E110">
        <v>700</v>
      </c>
      <c r="F110" t="s">
        <v>35</v>
      </c>
      <c r="G110" t="s">
        <v>35</v>
      </c>
      <c r="H110" t="s">
        <v>35</v>
      </c>
      <c r="I110" t="s">
        <v>35</v>
      </c>
      <c r="J110" t="s">
        <v>35</v>
      </c>
      <c r="K110" t="s">
        <v>35</v>
      </c>
      <c r="L110" t="s">
        <v>35</v>
      </c>
      <c r="M110" t="s">
        <v>35</v>
      </c>
      <c r="N110" t="s">
        <v>35</v>
      </c>
      <c r="O110" t="s">
        <v>35</v>
      </c>
      <c r="P110" t="s">
        <v>35</v>
      </c>
      <c r="Q110" t="s">
        <v>35</v>
      </c>
    </row>
    <row r="111" spans="1:17">
      <c r="A111" t="s">
        <v>248</v>
      </c>
      <c r="B111" t="s">
        <v>247</v>
      </c>
      <c r="C111">
        <v>1200</v>
      </c>
      <c r="D111">
        <v>1200</v>
      </c>
      <c r="E111">
        <v>1200</v>
      </c>
      <c r="F111" t="s">
        <v>35</v>
      </c>
      <c r="G111" t="s">
        <v>35</v>
      </c>
      <c r="H111" t="s">
        <v>35</v>
      </c>
      <c r="I111" t="s">
        <v>35</v>
      </c>
      <c r="J111" t="s">
        <v>35</v>
      </c>
      <c r="K111" t="s">
        <v>35</v>
      </c>
      <c r="L111" t="s">
        <v>35</v>
      </c>
      <c r="M111" t="s">
        <v>35</v>
      </c>
      <c r="N111" t="s">
        <v>35</v>
      </c>
      <c r="O111" t="s">
        <v>35</v>
      </c>
      <c r="P111" t="s">
        <v>35</v>
      </c>
      <c r="Q111" t="s">
        <v>35</v>
      </c>
    </row>
    <row r="112" spans="1:17">
      <c r="A112" t="s">
        <v>246</v>
      </c>
      <c r="B112" t="s">
        <v>245</v>
      </c>
      <c r="C112">
        <v>600</v>
      </c>
      <c r="D112">
        <v>600</v>
      </c>
      <c r="E112">
        <v>600</v>
      </c>
      <c r="F112" t="s">
        <v>35</v>
      </c>
      <c r="G112" t="s">
        <v>35</v>
      </c>
      <c r="H112" t="s">
        <v>35</v>
      </c>
      <c r="I112" t="s">
        <v>35</v>
      </c>
      <c r="J112" t="s">
        <v>35</v>
      </c>
      <c r="K112" t="s">
        <v>35</v>
      </c>
      <c r="L112" t="s">
        <v>35</v>
      </c>
      <c r="M112" t="s">
        <v>35</v>
      </c>
      <c r="N112" t="s">
        <v>35</v>
      </c>
      <c r="O112" t="s">
        <v>35</v>
      </c>
      <c r="P112" t="s">
        <v>35</v>
      </c>
      <c r="Q112" t="s">
        <v>35</v>
      </c>
    </row>
    <row r="113" spans="1:17">
      <c r="A113" t="s">
        <v>244</v>
      </c>
      <c r="B113" t="s">
        <v>243</v>
      </c>
      <c r="C113">
        <v>10</v>
      </c>
      <c r="D113">
        <v>10</v>
      </c>
      <c r="E113">
        <v>10</v>
      </c>
      <c r="F113" t="s">
        <v>35</v>
      </c>
      <c r="G113" t="s">
        <v>35</v>
      </c>
      <c r="H113" t="s">
        <v>35</v>
      </c>
      <c r="I113" t="s">
        <v>35</v>
      </c>
      <c r="J113" t="s">
        <v>35</v>
      </c>
      <c r="K113" t="s">
        <v>35</v>
      </c>
      <c r="L113" t="s">
        <v>35</v>
      </c>
      <c r="M113" t="s">
        <v>35</v>
      </c>
      <c r="N113" t="s">
        <v>35</v>
      </c>
      <c r="O113" t="s">
        <v>35</v>
      </c>
      <c r="P113" t="s">
        <v>35</v>
      </c>
      <c r="Q113" t="s">
        <v>35</v>
      </c>
    </row>
    <row r="114" spans="1:17">
      <c r="A114" t="s">
        <v>242</v>
      </c>
      <c r="B114" t="s">
        <v>241</v>
      </c>
      <c r="C114">
        <v>4500</v>
      </c>
      <c r="D114">
        <v>4500</v>
      </c>
      <c r="E114">
        <v>4500</v>
      </c>
      <c r="F114" t="s">
        <v>35</v>
      </c>
      <c r="G114" t="s">
        <v>35</v>
      </c>
      <c r="H114" t="s">
        <v>35</v>
      </c>
      <c r="I114" t="s">
        <v>35</v>
      </c>
      <c r="J114" t="s">
        <v>35</v>
      </c>
      <c r="K114" t="s">
        <v>35</v>
      </c>
      <c r="L114" t="s">
        <v>35</v>
      </c>
      <c r="M114" t="s">
        <v>35</v>
      </c>
      <c r="N114" t="s">
        <v>35</v>
      </c>
      <c r="O114" t="s">
        <v>35</v>
      </c>
      <c r="P114" t="s">
        <v>35</v>
      </c>
      <c r="Q114" t="s">
        <v>35</v>
      </c>
    </row>
    <row r="115" spans="1:17">
      <c r="A115" t="s">
        <v>240</v>
      </c>
      <c r="B115" t="s">
        <v>239</v>
      </c>
      <c r="C115">
        <v>1500</v>
      </c>
      <c r="D115">
        <v>1500</v>
      </c>
      <c r="E115">
        <v>1500</v>
      </c>
      <c r="F115" t="s">
        <v>35</v>
      </c>
      <c r="G115" t="s">
        <v>35</v>
      </c>
      <c r="H115" t="s">
        <v>35</v>
      </c>
      <c r="I115" t="s">
        <v>35</v>
      </c>
      <c r="J115" t="s">
        <v>35</v>
      </c>
      <c r="K115" t="s">
        <v>35</v>
      </c>
      <c r="L115" t="s">
        <v>35</v>
      </c>
      <c r="M115" t="s">
        <v>35</v>
      </c>
      <c r="N115" t="s">
        <v>35</v>
      </c>
      <c r="O115" t="s">
        <v>35</v>
      </c>
      <c r="P115" t="s">
        <v>35</v>
      </c>
      <c r="Q115" t="s">
        <v>35</v>
      </c>
    </row>
    <row r="116" spans="1:17">
      <c r="A116" t="s">
        <v>238</v>
      </c>
      <c r="B116" t="s">
        <v>237</v>
      </c>
      <c r="C116">
        <v>8000</v>
      </c>
      <c r="D116">
        <v>8000</v>
      </c>
      <c r="E116">
        <v>8000</v>
      </c>
      <c r="F116" t="s">
        <v>35</v>
      </c>
      <c r="G116" t="s">
        <v>35</v>
      </c>
      <c r="H116" t="s">
        <v>35</v>
      </c>
      <c r="I116" t="s">
        <v>35</v>
      </c>
      <c r="J116" t="s">
        <v>35</v>
      </c>
      <c r="K116" t="s">
        <v>35</v>
      </c>
      <c r="L116" t="s">
        <v>35</v>
      </c>
      <c r="M116" t="s">
        <v>35</v>
      </c>
      <c r="N116" t="s">
        <v>35</v>
      </c>
      <c r="O116" t="s">
        <v>35</v>
      </c>
      <c r="P116" t="s">
        <v>35</v>
      </c>
      <c r="Q116" t="s">
        <v>35</v>
      </c>
    </row>
    <row r="117" spans="1:17">
      <c r="A117" t="s">
        <v>236</v>
      </c>
      <c r="B117" t="s">
        <v>235</v>
      </c>
      <c r="C117">
        <v>6000</v>
      </c>
      <c r="D117">
        <v>6000</v>
      </c>
      <c r="E117">
        <v>6000</v>
      </c>
      <c r="F117" t="s">
        <v>35</v>
      </c>
      <c r="G117" t="s">
        <v>35</v>
      </c>
      <c r="H117" t="s">
        <v>35</v>
      </c>
      <c r="I117" t="s">
        <v>35</v>
      </c>
      <c r="J117" t="s">
        <v>35</v>
      </c>
      <c r="K117" t="s">
        <v>35</v>
      </c>
      <c r="L117" t="s">
        <v>35</v>
      </c>
      <c r="M117" t="s">
        <v>35</v>
      </c>
      <c r="N117" t="s">
        <v>35</v>
      </c>
      <c r="O117" t="s">
        <v>35</v>
      </c>
      <c r="P117" t="s">
        <v>35</v>
      </c>
      <c r="Q117" t="s">
        <v>35</v>
      </c>
    </row>
    <row r="118" spans="1:17">
      <c r="A118" t="s">
        <v>234</v>
      </c>
      <c r="B118" t="s">
        <v>233</v>
      </c>
      <c r="C118">
        <v>8000</v>
      </c>
      <c r="D118">
        <v>8000</v>
      </c>
      <c r="E118">
        <v>8000</v>
      </c>
      <c r="F118" t="s">
        <v>35</v>
      </c>
      <c r="G118" t="s">
        <v>35</v>
      </c>
      <c r="H118" t="s">
        <v>35</v>
      </c>
      <c r="I118" t="s">
        <v>35</v>
      </c>
      <c r="J118" t="s">
        <v>35</v>
      </c>
      <c r="K118" t="s">
        <v>35</v>
      </c>
      <c r="L118" t="s">
        <v>35</v>
      </c>
      <c r="M118" t="s">
        <v>35</v>
      </c>
      <c r="N118" t="s">
        <v>35</v>
      </c>
      <c r="O118" t="s">
        <v>35</v>
      </c>
      <c r="P118" t="s">
        <v>35</v>
      </c>
      <c r="Q118" t="s">
        <v>35</v>
      </c>
    </row>
    <row r="119" spans="1:17">
      <c r="A119" t="s">
        <v>232</v>
      </c>
      <c r="B119" t="s">
        <v>231</v>
      </c>
      <c r="C119">
        <v>750</v>
      </c>
      <c r="D119">
        <v>750</v>
      </c>
      <c r="E119">
        <v>750</v>
      </c>
      <c r="F119" t="s">
        <v>35</v>
      </c>
      <c r="G119" t="s">
        <v>35</v>
      </c>
      <c r="H119" t="s">
        <v>35</v>
      </c>
      <c r="I119" t="s">
        <v>35</v>
      </c>
      <c r="J119" t="s">
        <v>35</v>
      </c>
      <c r="K119" t="s">
        <v>35</v>
      </c>
      <c r="L119" t="s">
        <v>35</v>
      </c>
      <c r="M119" t="s">
        <v>35</v>
      </c>
      <c r="N119" t="s">
        <v>35</v>
      </c>
      <c r="O119" t="s">
        <v>35</v>
      </c>
      <c r="P119" t="s">
        <v>35</v>
      </c>
      <c r="Q119" t="s">
        <v>35</v>
      </c>
    </row>
    <row r="120" spans="1:17">
      <c r="A120" t="s">
        <v>230</v>
      </c>
      <c r="B120" t="s">
        <v>229</v>
      </c>
      <c r="C120">
        <v>6000</v>
      </c>
      <c r="D120">
        <v>6000</v>
      </c>
      <c r="E120">
        <v>6000</v>
      </c>
      <c r="F120" t="s">
        <v>35</v>
      </c>
      <c r="G120" t="s">
        <v>35</v>
      </c>
      <c r="H120" t="s">
        <v>35</v>
      </c>
      <c r="I120" t="s">
        <v>35</v>
      </c>
      <c r="J120" t="s">
        <v>35</v>
      </c>
      <c r="K120" t="s">
        <v>35</v>
      </c>
      <c r="L120" t="s">
        <v>35</v>
      </c>
      <c r="M120" t="s">
        <v>35</v>
      </c>
      <c r="N120" t="s">
        <v>35</v>
      </c>
      <c r="O120" t="s">
        <v>35</v>
      </c>
      <c r="P120" t="s">
        <v>35</v>
      </c>
      <c r="Q120" t="s">
        <v>35</v>
      </c>
    </row>
    <row r="121" spans="1:17">
      <c r="A121" t="s">
        <v>228</v>
      </c>
      <c r="B121" t="s">
        <v>227</v>
      </c>
      <c r="C121">
        <v>150</v>
      </c>
      <c r="D121">
        <v>150</v>
      </c>
      <c r="E121">
        <v>150</v>
      </c>
      <c r="F121" t="s">
        <v>35</v>
      </c>
      <c r="G121" t="s">
        <v>35</v>
      </c>
      <c r="H121" t="s">
        <v>35</v>
      </c>
      <c r="I121" t="s">
        <v>35</v>
      </c>
      <c r="J121" t="s">
        <v>35</v>
      </c>
      <c r="K121" t="s">
        <v>35</v>
      </c>
      <c r="L121" t="s">
        <v>35</v>
      </c>
      <c r="M121" t="s">
        <v>35</v>
      </c>
      <c r="N121" t="s">
        <v>35</v>
      </c>
      <c r="O121" t="s">
        <v>35</v>
      </c>
      <c r="P121" t="s">
        <v>35</v>
      </c>
      <c r="Q121" t="s">
        <v>35</v>
      </c>
    </row>
    <row r="122" spans="1:17">
      <c r="A122" t="s">
        <v>226</v>
      </c>
      <c r="B122" t="s">
        <v>225</v>
      </c>
      <c r="C122">
        <v>3399</v>
      </c>
      <c r="D122">
        <v>3399</v>
      </c>
      <c r="E122">
        <v>3399</v>
      </c>
      <c r="F122" t="s">
        <v>35</v>
      </c>
      <c r="G122" t="s">
        <v>35</v>
      </c>
      <c r="H122" t="s">
        <v>35</v>
      </c>
      <c r="I122" t="s">
        <v>35</v>
      </c>
      <c r="J122" t="s">
        <v>35</v>
      </c>
      <c r="K122" t="s">
        <v>35</v>
      </c>
      <c r="L122" t="s">
        <v>35</v>
      </c>
      <c r="M122" t="s">
        <v>35</v>
      </c>
      <c r="N122" t="s">
        <v>35</v>
      </c>
      <c r="O122" t="s">
        <v>35</v>
      </c>
      <c r="P122" t="s">
        <v>35</v>
      </c>
      <c r="Q122" t="s">
        <v>35</v>
      </c>
    </row>
    <row r="123" spans="1:17">
      <c r="A123" t="s">
        <v>224</v>
      </c>
      <c r="B123" t="s">
        <v>223</v>
      </c>
      <c r="C123">
        <v>6000</v>
      </c>
      <c r="D123">
        <v>6000</v>
      </c>
      <c r="E123">
        <v>6000</v>
      </c>
      <c r="F123" t="s">
        <v>35</v>
      </c>
      <c r="G123" t="s">
        <v>35</v>
      </c>
      <c r="H123" t="s">
        <v>35</v>
      </c>
      <c r="I123" t="s">
        <v>35</v>
      </c>
      <c r="J123" t="s">
        <v>35</v>
      </c>
      <c r="K123" t="s">
        <v>35</v>
      </c>
      <c r="L123" t="s">
        <v>35</v>
      </c>
      <c r="M123" t="s">
        <v>35</v>
      </c>
      <c r="N123" t="s">
        <v>35</v>
      </c>
      <c r="O123" t="s">
        <v>35</v>
      </c>
      <c r="P123" t="s">
        <v>35</v>
      </c>
      <c r="Q123" t="s">
        <v>35</v>
      </c>
    </row>
    <row r="124" spans="1:17">
      <c r="A124" t="s">
        <v>222</v>
      </c>
      <c r="B124" t="s">
        <v>221</v>
      </c>
      <c r="C124">
        <v>25</v>
      </c>
      <c r="D124">
        <v>25</v>
      </c>
      <c r="E124">
        <v>25</v>
      </c>
      <c r="F124" t="s">
        <v>35</v>
      </c>
      <c r="G124" t="s">
        <v>35</v>
      </c>
      <c r="H124" t="s">
        <v>35</v>
      </c>
      <c r="I124" t="s">
        <v>35</v>
      </c>
      <c r="J124" t="s">
        <v>35</v>
      </c>
      <c r="K124" t="s">
        <v>35</v>
      </c>
      <c r="L124" t="s">
        <v>35</v>
      </c>
      <c r="M124" t="s">
        <v>35</v>
      </c>
      <c r="N124" t="s">
        <v>35</v>
      </c>
      <c r="O124" t="s">
        <v>35</v>
      </c>
      <c r="P124" t="s">
        <v>35</v>
      </c>
      <c r="Q124" t="s">
        <v>35</v>
      </c>
    </row>
    <row r="125" spans="1:17">
      <c r="A125" t="s">
        <v>220</v>
      </c>
      <c r="B125" t="s">
        <v>219</v>
      </c>
      <c r="C125">
        <v>6000</v>
      </c>
      <c r="D125">
        <v>6000</v>
      </c>
      <c r="E125">
        <v>6000</v>
      </c>
      <c r="F125" t="s">
        <v>35</v>
      </c>
      <c r="G125" t="s">
        <v>35</v>
      </c>
      <c r="H125" t="s">
        <v>35</v>
      </c>
      <c r="I125" t="s">
        <v>35</v>
      </c>
      <c r="J125" t="s">
        <v>35</v>
      </c>
      <c r="K125" t="s">
        <v>35</v>
      </c>
      <c r="L125" t="s">
        <v>35</v>
      </c>
      <c r="M125" t="s">
        <v>35</v>
      </c>
      <c r="N125" t="s">
        <v>35</v>
      </c>
      <c r="O125" t="s">
        <v>35</v>
      </c>
      <c r="P125" t="s">
        <v>35</v>
      </c>
      <c r="Q125" t="s">
        <v>35</v>
      </c>
    </row>
    <row r="126" spans="1:17">
      <c r="A126" t="s">
        <v>218</v>
      </c>
      <c r="B126" t="s">
        <v>217</v>
      </c>
      <c r="C126">
        <v>1000</v>
      </c>
      <c r="D126">
        <v>1000</v>
      </c>
      <c r="E126">
        <v>1000</v>
      </c>
      <c r="F126" t="s">
        <v>35</v>
      </c>
      <c r="G126" t="s">
        <v>35</v>
      </c>
      <c r="H126" t="s">
        <v>35</v>
      </c>
      <c r="I126" t="s">
        <v>35</v>
      </c>
      <c r="J126" t="s">
        <v>35</v>
      </c>
      <c r="K126" t="s">
        <v>35</v>
      </c>
      <c r="L126" t="s">
        <v>35</v>
      </c>
      <c r="M126" t="s">
        <v>35</v>
      </c>
      <c r="N126" t="s">
        <v>35</v>
      </c>
      <c r="O126" t="s">
        <v>35</v>
      </c>
      <c r="P126" t="s">
        <v>35</v>
      </c>
      <c r="Q126" t="s">
        <v>35</v>
      </c>
    </row>
    <row r="127" spans="1:17">
      <c r="A127" t="s">
        <v>216</v>
      </c>
      <c r="B127" t="s">
        <v>215</v>
      </c>
      <c r="C127">
        <v>1600</v>
      </c>
      <c r="D127">
        <v>1600</v>
      </c>
      <c r="E127">
        <v>1600</v>
      </c>
      <c r="F127" t="s">
        <v>35</v>
      </c>
      <c r="G127" t="s">
        <v>35</v>
      </c>
      <c r="H127" t="s">
        <v>35</v>
      </c>
      <c r="I127" t="s">
        <v>35</v>
      </c>
      <c r="J127" t="s">
        <v>35</v>
      </c>
      <c r="K127" t="s">
        <v>35</v>
      </c>
      <c r="L127" t="s">
        <v>35</v>
      </c>
      <c r="M127" t="s">
        <v>35</v>
      </c>
      <c r="N127" t="s">
        <v>35</v>
      </c>
      <c r="O127" t="s">
        <v>35</v>
      </c>
      <c r="P127" t="s">
        <v>35</v>
      </c>
      <c r="Q127" t="s">
        <v>35</v>
      </c>
    </row>
    <row r="128" spans="1:17">
      <c r="A128" t="s">
        <v>214</v>
      </c>
      <c r="B128" t="s">
        <v>213</v>
      </c>
      <c r="C128">
        <v>800</v>
      </c>
      <c r="D128">
        <v>800</v>
      </c>
      <c r="E128">
        <v>800</v>
      </c>
      <c r="F128" t="s">
        <v>35</v>
      </c>
      <c r="G128" t="s">
        <v>35</v>
      </c>
      <c r="H128" t="s">
        <v>35</v>
      </c>
      <c r="I128" t="s">
        <v>35</v>
      </c>
      <c r="J128" t="s">
        <v>35</v>
      </c>
      <c r="K128" t="s">
        <v>35</v>
      </c>
      <c r="L128" t="s">
        <v>35</v>
      </c>
      <c r="M128" t="s">
        <v>35</v>
      </c>
      <c r="N128" t="s">
        <v>35</v>
      </c>
      <c r="O128" t="s">
        <v>35</v>
      </c>
      <c r="P128" t="s">
        <v>35</v>
      </c>
      <c r="Q128" t="s">
        <v>35</v>
      </c>
    </row>
    <row r="129" spans="1:17">
      <c r="A129" t="s">
        <v>212</v>
      </c>
      <c r="B129" t="s">
        <v>211</v>
      </c>
      <c r="C129">
        <v>5500</v>
      </c>
      <c r="D129">
        <v>5500</v>
      </c>
      <c r="E129">
        <v>5500</v>
      </c>
      <c r="F129" t="s">
        <v>35</v>
      </c>
      <c r="G129" t="s">
        <v>35</v>
      </c>
      <c r="H129" t="s">
        <v>35</v>
      </c>
      <c r="I129" t="s">
        <v>35</v>
      </c>
      <c r="J129" t="s">
        <v>35</v>
      </c>
      <c r="K129" t="s">
        <v>35</v>
      </c>
      <c r="L129" t="s">
        <v>35</v>
      </c>
      <c r="M129" t="s">
        <v>35</v>
      </c>
      <c r="N129" t="s">
        <v>35</v>
      </c>
      <c r="O129" t="s">
        <v>35</v>
      </c>
      <c r="P129" t="s">
        <v>35</v>
      </c>
      <c r="Q129" t="s">
        <v>35</v>
      </c>
    </row>
    <row r="130" spans="1:17">
      <c r="A130" t="s">
        <v>210</v>
      </c>
      <c r="B130" t="s">
        <v>209</v>
      </c>
      <c r="C130">
        <v>8000</v>
      </c>
      <c r="D130">
        <v>8000</v>
      </c>
      <c r="E130">
        <v>8000</v>
      </c>
      <c r="F130" t="s">
        <v>35</v>
      </c>
      <c r="G130" t="s">
        <v>35</v>
      </c>
      <c r="H130" t="s">
        <v>35</v>
      </c>
      <c r="I130" t="s">
        <v>35</v>
      </c>
      <c r="J130" t="s">
        <v>35</v>
      </c>
      <c r="K130" t="s">
        <v>35</v>
      </c>
      <c r="L130" t="s">
        <v>35</v>
      </c>
      <c r="M130" t="s">
        <v>35</v>
      </c>
      <c r="N130" t="s">
        <v>35</v>
      </c>
      <c r="O130" t="s">
        <v>35</v>
      </c>
      <c r="P130" t="s">
        <v>35</v>
      </c>
      <c r="Q130" t="s">
        <v>35</v>
      </c>
    </row>
    <row r="131" spans="1:17">
      <c r="A131" t="s">
        <v>208</v>
      </c>
      <c r="B131" t="s">
        <v>207</v>
      </c>
      <c r="C131">
        <v>400</v>
      </c>
      <c r="D131">
        <v>400</v>
      </c>
      <c r="E131">
        <v>400</v>
      </c>
      <c r="F131" t="s">
        <v>35</v>
      </c>
      <c r="G131" t="s">
        <v>35</v>
      </c>
      <c r="H131" t="s">
        <v>35</v>
      </c>
      <c r="I131" t="s">
        <v>35</v>
      </c>
      <c r="J131" t="s">
        <v>35</v>
      </c>
      <c r="K131" t="s">
        <v>35</v>
      </c>
      <c r="L131" t="s">
        <v>35</v>
      </c>
      <c r="M131" t="s">
        <v>35</v>
      </c>
      <c r="N131" t="s">
        <v>35</v>
      </c>
      <c r="O131" t="s">
        <v>35</v>
      </c>
      <c r="P131" t="s">
        <v>35</v>
      </c>
      <c r="Q131" t="s">
        <v>35</v>
      </c>
    </row>
    <row r="132" spans="1:17">
      <c r="A132" t="s">
        <v>206</v>
      </c>
      <c r="B132" t="s">
        <v>205</v>
      </c>
      <c r="C132">
        <v>800</v>
      </c>
      <c r="D132">
        <v>800</v>
      </c>
      <c r="E132">
        <v>800</v>
      </c>
      <c r="F132" t="s">
        <v>35</v>
      </c>
      <c r="G132" t="s">
        <v>35</v>
      </c>
      <c r="H132" t="s">
        <v>35</v>
      </c>
      <c r="I132" t="s">
        <v>35</v>
      </c>
      <c r="J132" t="s">
        <v>35</v>
      </c>
      <c r="K132" t="s">
        <v>35</v>
      </c>
      <c r="L132" t="s">
        <v>35</v>
      </c>
      <c r="M132" t="s">
        <v>35</v>
      </c>
      <c r="N132" t="s">
        <v>35</v>
      </c>
      <c r="O132" t="s">
        <v>35</v>
      </c>
      <c r="P132" t="s">
        <v>35</v>
      </c>
      <c r="Q132" t="s">
        <v>35</v>
      </c>
    </row>
    <row r="133" spans="1:17">
      <c r="A133" t="s">
        <v>204</v>
      </c>
      <c r="B133" t="s">
        <v>203</v>
      </c>
      <c r="C133">
        <v>2400</v>
      </c>
      <c r="D133">
        <v>2400</v>
      </c>
      <c r="E133">
        <v>2400</v>
      </c>
      <c r="F133" t="s">
        <v>35</v>
      </c>
      <c r="G133" t="s">
        <v>35</v>
      </c>
      <c r="H133" t="s">
        <v>35</v>
      </c>
      <c r="I133" t="s">
        <v>35</v>
      </c>
      <c r="J133" t="s">
        <v>35</v>
      </c>
      <c r="K133" t="s">
        <v>35</v>
      </c>
      <c r="L133" t="s">
        <v>35</v>
      </c>
      <c r="M133" t="s">
        <v>35</v>
      </c>
      <c r="N133" t="s">
        <v>35</v>
      </c>
      <c r="O133" t="s">
        <v>35</v>
      </c>
      <c r="P133" t="s">
        <v>35</v>
      </c>
      <c r="Q133" t="s">
        <v>35</v>
      </c>
    </row>
    <row r="134" spans="1:17">
      <c r="A134" t="s">
        <v>202</v>
      </c>
      <c r="B134" t="s">
        <v>201</v>
      </c>
      <c r="C134">
        <v>800</v>
      </c>
      <c r="D134">
        <v>800</v>
      </c>
      <c r="E134">
        <v>800</v>
      </c>
      <c r="F134" t="s">
        <v>35</v>
      </c>
      <c r="G134" t="s">
        <v>35</v>
      </c>
      <c r="H134" t="s">
        <v>35</v>
      </c>
      <c r="I134" t="s">
        <v>35</v>
      </c>
      <c r="J134" t="s">
        <v>35</v>
      </c>
      <c r="K134" t="s">
        <v>35</v>
      </c>
      <c r="L134" t="s">
        <v>35</v>
      </c>
      <c r="M134" t="s">
        <v>35</v>
      </c>
      <c r="N134" t="s">
        <v>35</v>
      </c>
      <c r="O134" t="s">
        <v>35</v>
      </c>
      <c r="P134" t="s">
        <v>35</v>
      </c>
      <c r="Q134" t="s">
        <v>35</v>
      </c>
    </row>
    <row r="135" spans="1:17">
      <c r="A135" t="s">
        <v>200</v>
      </c>
      <c r="B135" t="s">
        <v>199</v>
      </c>
      <c r="C135">
        <v>1200</v>
      </c>
      <c r="D135">
        <v>1200</v>
      </c>
      <c r="E135">
        <v>1200</v>
      </c>
      <c r="F135" t="s">
        <v>35</v>
      </c>
      <c r="G135" t="s">
        <v>35</v>
      </c>
      <c r="H135" t="s">
        <v>35</v>
      </c>
      <c r="I135" t="s">
        <v>35</v>
      </c>
      <c r="J135" t="s">
        <v>35</v>
      </c>
      <c r="K135" t="s">
        <v>35</v>
      </c>
      <c r="L135" t="s">
        <v>35</v>
      </c>
      <c r="M135" t="s">
        <v>35</v>
      </c>
      <c r="N135" t="s">
        <v>35</v>
      </c>
      <c r="O135" t="s">
        <v>35</v>
      </c>
      <c r="P135" t="s">
        <v>35</v>
      </c>
      <c r="Q135" t="s">
        <v>35</v>
      </c>
    </row>
    <row r="136" spans="1:17">
      <c r="A136" t="s">
        <v>198</v>
      </c>
      <c r="B136" t="s">
        <v>197</v>
      </c>
      <c r="C136">
        <v>28000</v>
      </c>
      <c r="D136">
        <v>28000</v>
      </c>
      <c r="E136">
        <v>28000</v>
      </c>
      <c r="F136" t="s">
        <v>35</v>
      </c>
      <c r="G136" t="s">
        <v>35</v>
      </c>
      <c r="H136" t="s">
        <v>35</v>
      </c>
      <c r="I136" t="s">
        <v>35</v>
      </c>
      <c r="J136" t="s">
        <v>35</v>
      </c>
      <c r="K136" t="s">
        <v>35</v>
      </c>
      <c r="L136" t="s">
        <v>35</v>
      </c>
      <c r="M136" t="s">
        <v>35</v>
      </c>
      <c r="N136" t="s">
        <v>35</v>
      </c>
      <c r="O136" t="s">
        <v>35</v>
      </c>
      <c r="P136" t="s">
        <v>35</v>
      </c>
      <c r="Q136" t="s">
        <v>35</v>
      </c>
    </row>
    <row r="137" spans="1:17">
      <c r="A137" t="s">
        <v>196</v>
      </c>
      <c r="B137" t="s">
        <v>195</v>
      </c>
      <c r="C137">
        <v>6000</v>
      </c>
      <c r="D137">
        <v>6000</v>
      </c>
      <c r="E137">
        <v>6000</v>
      </c>
      <c r="F137" t="s">
        <v>35</v>
      </c>
      <c r="G137" t="s">
        <v>35</v>
      </c>
      <c r="H137" t="s">
        <v>35</v>
      </c>
      <c r="I137" t="s">
        <v>35</v>
      </c>
      <c r="J137" t="s">
        <v>35</v>
      </c>
      <c r="K137" t="s">
        <v>35</v>
      </c>
      <c r="L137" t="s">
        <v>35</v>
      </c>
      <c r="M137" t="s">
        <v>35</v>
      </c>
      <c r="N137" t="s">
        <v>35</v>
      </c>
      <c r="O137" t="s">
        <v>35</v>
      </c>
      <c r="P137" t="s">
        <v>35</v>
      </c>
      <c r="Q137" t="s">
        <v>35</v>
      </c>
    </row>
    <row r="138" spans="1:17">
      <c r="A138" t="s">
        <v>194</v>
      </c>
      <c r="B138" t="s">
        <v>193</v>
      </c>
      <c r="C138">
        <v>1000</v>
      </c>
      <c r="D138">
        <v>1000</v>
      </c>
      <c r="E138">
        <v>1000</v>
      </c>
      <c r="F138" t="s">
        <v>35</v>
      </c>
      <c r="G138" t="s">
        <v>35</v>
      </c>
      <c r="H138" t="s">
        <v>35</v>
      </c>
      <c r="I138" t="s">
        <v>35</v>
      </c>
      <c r="J138" t="s">
        <v>35</v>
      </c>
      <c r="K138" t="s">
        <v>35</v>
      </c>
      <c r="L138" t="s">
        <v>35</v>
      </c>
      <c r="M138" t="s">
        <v>35</v>
      </c>
      <c r="N138" t="s">
        <v>35</v>
      </c>
      <c r="O138" t="s">
        <v>35</v>
      </c>
      <c r="P138" t="s">
        <v>35</v>
      </c>
      <c r="Q138" t="s">
        <v>35</v>
      </c>
    </row>
    <row r="139" spans="1:17">
      <c r="A139" t="s">
        <v>192</v>
      </c>
      <c r="B139" t="s">
        <v>191</v>
      </c>
      <c r="C139">
        <v>900</v>
      </c>
      <c r="D139">
        <v>900</v>
      </c>
      <c r="E139">
        <v>900</v>
      </c>
      <c r="F139" t="s">
        <v>35</v>
      </c>
      <c r="G139" t="s">
        <v>35</v>
      </c>
      <c r="H139" t="s">
        <v>35</v>
      </c>
      <c r="I139" t="s">
        <v>35</v>
      </c>
      <c r="J139" t="s">
        <v>35</v>
      </c>
      <c r="K139" t="s">
        <v>35</v>
      </c>
      <c r="L139" t="s">
        <v>35</v>
      </c>
      <c r="M139" t="s">
        <v>35</v>
      </c>
      <c r="N139" t="s">
        <v>35</v>
      </c>
      <c r="O139" t="s">
        <v>35</v>
      </c>
      <c r="P139" t="s">
        <v>35</v>
      </c>
      <c r="Q139" t="s">
        <v>35</v>
      </c>
    </row>
    <row r="140" spans="1:17">
      <c r="A140" t="s">
        <v>190</v>
      </c>
      <c r="B140" t="s">
        <v>189</v>
      </c>
      <c r="C140">
        <v>12000</v>
      </c>
      <c r="D140">
        <v>12000</v>
      </c>
      <c r="E140">
        <v>12000</v>
      </c>
      <c r="F140" t="s">
        <v>35</v>
      </c>
      <c r="G140" t="s">
        <v>35</v>
      </c>
      <c r="H140" t="s">
        <v>35</v>
      </c>
      <c r="I140" t="s">
        <v>35</v>
      </c>
      <c r="J140" t="s">
        <v>35</v>
      </c>
      <c r="K140" t="s">
        <v>35</v>
      </c>
      <c r="L140" t="s">
        <v>35</v>
      </c>
      <c r="M140" t="s">
        <v>35</v>
      </c>
      <c r="N140" t="s">
        <v>35</v>
      </c>
      <c r="O140" t="s">
        <v>35</v>
      </c>
      <c r="P140" t="s">
        <v>35</v>
      </c>
      <c r="Q140" t="s">
        <v>35</v>
      </c>
    </row>
    <row r="141" spans="1:17">
      <c r="A141" t="s">
        <v>188</v>
      </c>
      <c r="B141" t="s">
        <v>187</v>
      </c>
      <c r="C141">
        <v>3000</v>
      </c>
      <c r="D141">
        <v>3000</v>
      </c>
      <c r="E141">
        <v>3000</v>
      </c>
      <c r="F141" t="s">
        <v>35</v>
      </c>
      <c r="G141" t="s">
        <v>35</v>
      </c>
      <c r="H141" t="s">
        <v>35</v>
      </c>
      <c r="I141" t="s">
        <v>35</v>
      </c>
      <c r="J141" t="s">
        <v>35</v>
      </c>
      <c r="K141" t="s">
        <v>35</v>
      </c>
      <c r="L141" t="s">
        <v>35</v>
      </c>
      <c r="M141" t="s">
        <v>35</v>
      </c>
      <c r="N141" t="s">
        <v>35</v>
      </c>
      <c r="O141" t="s">
        <v>35</v>
      </c>
      <c r="P141" t="s">
        <v>35</v>
      </c>
      <c r="Q141" t="s">
        <v>35</v>
      </c>
    </row>
    <row r="142" spans="1:17">
      <c r="A142" t="s">
        <v>186</v>
      </c>
      <c r="B142" t="s">
        <v>185</v>
      </c>
      <c r="C142">
        <v>500</v>
      </c>
      <c r="D142">
        <v>500</v>
      </c>
      <c r="E142">
        <v>500</v>
      </c>
      <c r="F142" t="s">
        <v>35</v>
      </c>
      <c r="G142" t="s">
        <v>35</v>
      </c>
      <c r="H142" t="s">
        <v>35</v>
      </c>
      <c r="I142" t="s">
        <v>35</v>
      </c>
      <c r="J142" t="s">
        <v>35</v>
      </c>
      <c r="K142" t="s">
        <v>35</v>
      </c>
      <c r="L142" t="s">
        <v>35</v>
      </c>
      <c r="M142" t="s">
        <v>35</v>
      </c>
      <c r="N142" t="s">
        <v>35</v>
      </c>
      <c r="O142" t="s">
        <v>35</v>
      </c>
      <c r="P142" t="s">
        <v>35</v>
      </c>
      <c r="Q142" t="s">
        <v>35</v>
      </c>
    </row>
    <row r="143" spans="1:17">
      <c r="A143" t="s">
        <v>184</v>
      </c>
      <c r="B143" t="s">
        <v>183</v>
      </c>
      <c r="C143">
        <v>500</v>
      </c>
      <c r="D143">
        <v>500</v>
      </c>
      <c r="E143">
        <v>500</v>
      </c>
      <c r="F143" t="s">
        <v>35</v>
      </c>
      <c r="G143" t="s">
        <v>35</v>
      </c>
      <c r="H143" t="s">
        <v>35</v>
      </c>
      <c r="I143" t="s">
        <v>35</v>
      </c>
      <c r="J143" t="s">
        <v>35</v>
      </c>
      <c r="K143" t="s">
        <v>35</v>
      </c>
      <c r="L143" t="s">
        <v>35</v>
      </c>
      <c r="M143" t="s">
        <v>35</v>
      </c>
      <c r="N143" t="s">
        <v>35</v>
      </c>
      <c r="O143" t="s">
        <v>35</v>
      </c>
      <c r="P143" t="s">
        <v>35</v>
      </c>
      <c r="Q143" t="s">
        <v>35</v>
      </c>
    </row>
    <row r="144" spans="1:17">
      <c r="A144" t="s">
        <v>182</v>
      </c>
      <c r="B144" t="s">
        <v>181</v>
      </c>
      <c r="C144">
        <v>750</v>
      </c>
      <c r="D144">
        <v>750</v>
      </c>
      <c r="E144">
        <v>750</v>
      </c>
      <c r="F144" t="s">
        <v>35</v>
      </c>
      <c r="G144" t="s">
        <v>35</v>
      </c>
      <c r="H144" t="s">
        <v>35</v>
      </c>
      <c r="I144" t="s">
        <v>35</v>
      </c>
      <c r="J144" t="s">
        <v>35</v>
      </c>
      <c r="K144" t="s">
        <v>35</v>
      </c>
      <c r="L144" t="s">
        <v>35</v>
      </c>
      <c r="M144" t="s">
        <v>35</v>
      </c>
      <c r="N144" t="s">
        <v>35</v>
      </c>
      <c r="O144" t="s">
        <v>35</v>
      </c>
      <c r="P144" t="s">
        <v>35</v>
      </c>
      <c r="Q144" t="s">
        <v>35</v>
      </c>
    </row>
    <row r="145" spans="1:17">
      <c r="A145" t="s">
        <v>180</v>
      </c>
      <c r="B145" t="s">
        <v>179</v>
      </c>
      <c r="C145">
        <v>800</v>
      </c>
      <c r="D145">
        <v>800</v>
      </c>
      <c r="E145">
        <v>800</v>
      </c>
      <c r="F145" t="s">
        <v>35</v>
      </c>
      <c r="G145" t="s">
        <v>35</v>
      </c>
      <c r="H145" t="s">
        <v>35</v>
      </c>
      <c r="I145" t="s">
        <v>35</v>
      </c>
      <c r="J145" t="s">
        <v>35</v>
      </c>
      <c r="K145" t="s">
        <v>35</v>
      </c>
      <c r="L145" t="s">
        <v>35</v>
      </c>
      <c r="M145" t="s">
        <v>35</v>
      </c>
      <c r="N145" t="s">
        <v>35</v>
      </c>
      <c r="O145" t="s">
        <v>35</v>
      </c>
      <c r="P145" t="s">
        <v>35</v>
      </c>
      <c r="Q145" t="s">
        <v>35</v>
      </c>
    </row>
    <row r="146" spans="1:17">
      <c r="A146" t="s">
        <v>178</v>
      </c>
      <c r="B146" t="s">
        <v>14</v>
      </c>
      <c r="C146">
        <v>2250</v>
      </c>
      <c r="D146">
        <v>2250</v>
      </c>
      <c r="E146">
        <v>2250</v>
      </c>
      <c r="F146" t="s">
        <v>35</v>
      </c>
      <c r="G146" t="s">
        <v>35</v>
      </c>
      <c r="H146" t="s">
        <v>35</v>
      </c>
      <c r="I146" t="s">
        <v>35</v>
      </c>
      <c r="J146" t="s">
        <v>35</v>
      </c>
      <c r="K146" t="s">
        <v>35</v>
      </c>
      <c r="L146" t="s">
        <v>35</v>
      </c>
      <c r="M146" t="s">
        <v>35</v>
      </c>
      <c r="N146" t="s">
        <v>35</v>
      </c>
      <c r="O146" t="s">
        <v>35</v>
      </c>
      <c r="P146" t="s">
        <v>35</v>
      </c>
      <c r="Q146" t="s">
        <v>35</v>
      </c>
    </row>
    <row r="147" spans="1:17">
      <c r="A147" t="s">
        <v>177</v>
      </c>
      <c r="B147" t="s">
        <v>176</v>
      </c>
      <c r="C147">
        <v>1500</v>
      </c>
      <c r="D147">
        <v>1500</v>
      </c>
      <c r="E147">
        <v>1500</v>
      </c>
      <c r="F147" t="s">
        <v>35</v>
      </c>
      <c r="G147" t="s">
        <v>35</v>
      </c>
      <c r="H147" t="s">
        <v>35</v>
      </c>
      <c r="I147" t="s">
        <v>35</v>
      </c>
      <c r="J147" t="s">
        <v>35</v>
      </c>
      <c r="K147" t="s">
        <v>35</v>
      </c>
      <c r="L147" t="s">
        <v>35</v>
      </c>
      <c r="M147" t="s">
        <v>35</v>
      </c>
      <c r="N147" t="s">
        <v>35</v>
      </c>
      <c r="O147" t="s">
        <v>35</v>
      </c>
      <c r="P147" t="s">
        <v>35</v>
      </c>
      <c r="Q147" t="s">
        <v>35</v>
      </c>
    </row>
    <row r="148" spans="1:17">
      <c r="A148" t="s">
        <v>175</v>
      </c>
      <c r="B148" t="s">
        <v>174</v>
      </c>
      <c r="C148">
        <v>2800</v>
      </c>
      <c r="D148">
        <v>2800</v>
      </c>
      <c r="E148">
        <v>2800</v>
      </c>
      <c r="F148" t="s">
        <v>35</v>
      </c>
      <c r="G148" t="s">
        <v>35</v>
      </c>
      <c r="H148" t="s">
        <v>35</v>
      </c>
      <c r="I148" t="s">
        <v>35</v>
      </c>
      <c r="J148" t="s">
        <v>35</v>
      </c>
      <c r="K148" t="s">
        <v>35</v>
      </c>
      <c r="L148" t="s">
        <v>35</v>
      </c>
      <c r="M148" t="s">
        <v>35</v>
      </c>
      <c r="N148" t="s">
        <v>35</v>
      </c>
      <c r="O148" t="s">
        <v>35</v>
      </c>
      <c r="P148" t="s">
        <v>35</v>
      </c>
      <c r="Q148" t="s">
        <v>35</v>
      </c>
    </row>
    <row r="149" spans="1:17">
      <c r="A149" t="s">
        <v>173</v>
      </c>
      <c r="B149" t="s">
        <v>172</v>
      </c>
      <c r="C149">
        <v>1061</v>
      </c>
      <c r="D149">
        <v>1061</v>
      </c>
      <c r="E149">
        <v>1061</v>
      </c>
      <c r="F149" t="s">
        <v>35</v>
      </c>
      <c r="G149" t="s">
        <v>35</v>
      </c>
      <c r="H149" t="s">
        <v>35</v>
      </c>
      <c r="I149" t="s">
        <v>35</v>
      </c>
      <c r="J149" t="s">
        <v>35</v>
      </c>
      <c r="K149" t="s">
        <v>35</v>
      </c>
      <c r="L149" t="s">
        <v>35</v>
      </c>
      <c r="M149" t="s">
        <v>35</v>
      </c>
      <c r="N149" t="s">
        <v>35</v>
      </c>
      <c r="O149" t="s">
        <v>35</v>
      </c>
      <c r="P149" t="s">
        <v>35</v>
      </c>
      <c r="Q149" t="s">
        <v>35</v>
      </c>
    </row>
    <row r="150" spans="1:17">
      <c r="A150" t="s">
        <v>171</v>
      </c>
      <c r="B150" t="s">
        <v>170</v>
      </c>
      <c r="C150">
        <v>750</v>
      </c>
      <c r="D150">
        <v>750</v>
      </c>
      <c r="E150">
        <v>750</v>
      </c>
      <c r="F150" t="s">
        <v>35</v>
      </c>
      <c r="G150" t="s">
        <v>35</v>
      </c>
      <c r="H150" t="s">
        <v>35</v>
      </c>
      <c r="I150" t="s">
        <v>35</v>
      </c>
      <c r="J150" t="s">
        <v>35</v>
      </c>
      <c r="K150" t="s">
        <v>35</v>
      </c>
      <c r="L150" t="s">
        <v>35</v>
      </c>
      <c r="M150" t="s">
        <v>35</v>
      </c>
      <c r="N150" t="s">
        <v>35</v>
      </c>
      <c r="O150" t="s">
        <v>35</v>
      </c>
      <c r="P150" t="s">
        <v>35</v>
      </c>
      <c r="Q150" t="s">
        <v>35</v>
      </c>
    </row>
    <row r="151" spans="1:17">
      <c r="A151" t="s">
        <v>169</v>
      </c>
      <c r="B151" t="s">
        <v>168</v>
      </c>
      <c r="C151">
        <v>700</v>
      </c>
      <c r="D151">
        <v>700</v>
      </c>
      <c r="E151">
        <v>700</v>
      </c>
      <c r="F151" t="s">
        <v>35</v>
      </c>
      <c r="G151" t="s">
        <v>35</v>
      </c>
      <c r="H151" t="s">
        <v>35</v>
      </c>
      <c r="I151" t="s">
        <v>35</v>
      </c>
      <c r="J151" t="s">
        <v>35</v>
      </c>
      <c r="K151" t="s">
        <v>35</v>
      </c>
      <c r="L151" t="s">
        <v>35</v>
      </c>
      <c r="M151" t="s">
        <v>35</v>
      </c>
      <c r="N151" t="s">
        <v>35</v>
      </c>
      <c r="O151" t="s">
        <v>35</v>
      </c>
      <c r="P151" t="s">
        <v>35</v>
      </c>
      <c r="Q151" t="s">
        <v>35</v>
      </c>
    </row>
    <row r="152" spans="1:17">
      <c r="A152" t="s">
        <v>167</v>
      </c>
      <c r="B152" t="s">
        <v>166</v>
      </c>
      <c r="C152">
        <v>1600</v>
      </c>
      <c r="D152">
        <v>1600</v>
      </c>
      <c r="E152">
        <v>1600</v>
      </c>
      <c r="F152" t="s">
        <v>35</v>
      </c>
      <c r="G152" t="s">
        <v>35</v>
      </c>
      <c r="H152" t="s">
        <v>35</v>
      </c>
      <c r="I152" t="s">
        <v>35</v>
      </c>
      <c r="J152" t="s">
        <v>35</v>
      </c>
      <c r="K152" t="s">
        <v>35</v>
      </c>
      <c r="L152" t="s">
        <v>35</v>
      </c>
      <c r="M152" t="s">
        <v>35</v>
      </c>
      <c r="N152" t="s">
        <v>35</v>
      </c>
      <c r="O152" t="s">
        <v>35</v>
      </c>
      <c r="P152" t="s">
        <v>35</v>
      </c>
      <c r="Q152" t="s">
        <v>35</v>
      </c>
    </row>
    <row r="153" spans="1:17">
      <c r="A153" t="s">
        <v>165</v>
      </c>
      <c r="B153" t="s">
        <v>164</v>
      </c>
      <c r="C153">
        <v>6000</v>
      </c>
      <c r="D153">
        <v>6000</v>
      </c>
      <c r="E153">
        <v>6000</v>
      </c>
      <c r="F153" t="s">
        <v>35</v>
      </c>
      <c r="G153" t="s">
        <v>35</v>
      </c>
      <c r="H153" t="s">
        <v>35</v>
      </c>
      <c r="I153" t="s">
        <v>35</v>
      </c>
      <c r="J153" t="s">
        <v>35</v>
      </c>
      <c r="K153" t="s">
        <v>35</v>
      </c>
      <c r="L153" t="s">
        <v>35</v>
      </c>
      <c r="M153" t="s">
        <v>35</v>
      </c>
      <c r="N153" t="s">
        <v>35</v>
      </c>
      <c r="O153" t="s">
        <v>35</v>
      </c>
      <c r="P153" t="s">
        <v>35</v>
      </c>
      <c r="Q153" t="s">
        <v>35</v>
      </c>
    </row>
    <row r="154" spans="1:17">
      <c r="A154" t="s">
        <v>163</v>
      </c>
      <c r="B154" t="s">
        <v>162</v>
      </c>
      <c r="C154">
        <v>1750</v>
      </c>
      <c r="D154">
        <v>1750</v>
      </c>
      <c r="E154">
        <v>1750</v>
      </c>
      <c r="F154" t="s">
        <v>35</v>
      </c>
      <c r="G154" t="s">
        <v>35</v>
      </c>
      <c r="H154" t="s">
        <v>35</v>
      </c>
      <c r="I154" t="s">
        <v>35</v>
      </c>
      <c r="J154" t="s">
        <v>35</v>
      </c>
      <c r="K154" t="s">
        <v>35</v>
      </c>
      <c r="L154" t="s">
        <v>35</v>
      </c>
      <c r="M154" t="s">
        <v>35</v>
      </c>
      <c r="N154" t="s">
        <v>35</v>
      </c>
      <c r="O154" t="s">
        <v>35</v>
      </c>
      <c r="P154" t="s">
        <v>35</v>
      </c>
      <c r="Q154" t="s">
        <v>35</v>
      </c>
    </row>
    <row r="155" spans="1:17">
      <c r="A155" t="s">
        <v>161</v>
      </c>
      <c r="B155" t="s">
        <v>160</v>
      </c>
      <c r="C155">
        <v>1000</v>
      </c>
      <c r="D155">
        <v>1000</v>
      </c>
      <c r="E155">
        <v>1000</v>
      </c>
      <c r="F155" t="s">
        <v>35</v>
      </c>
      <c r="G155" t="s">
        <v>35</v>
      </c>
      <c r="H155" t="s">
        <v>35</v>
      </c>
      <c r="I155" t="s">
        <v>35</v>
      </c>
      <c r="J155" t="s">
        <v>35</v>
      </c>
      <c r="K155" t="s">
        <v>35</v>
      </c>
      <c r="L155" t="s">
        <v>35</v>
      </c>
      <c r="M155" t="s">
        <v>35</v>
      </c>
      <c r="N155" t="s">
        <v>35</v>
      </c>
      <c r="O155" t="s">
        <v>35</v>
      </c>
      <c r="P155" t="s">
        <v>35</v>
      </c>
      <c r="Q155" t="s">
        <v>35</v>
      </c>
    </row>
    <row r="156" spans="1:17">
      <c r="A156" t="s">
        <v>159</v>
      </c>
      <c r="B156" t="s">
        <v>158</v>
      </c>
      <c r="C156">
        <v>900</v>
      </c>
      <c r="D156">
        <v>900</v>
      </c>
      <c r="E156">
        <v>900</v>
      </c>
      <c r="F156" t="s">
        <v>35</v>
      </c>
      <c r="G156" t="s">
        <v>35</v>
      </c>
      <c r="H156" t="s">
        <v>35</v>
      </c>
      <c r="I156" t="s">
        <v>35</v>
      </c>
      <c r="J156" t="s">
        <v>35</v>
      </c>
      <c r="K156" t="s">
        <v>35</v>
      </c>
      <c r="L156" t="s">
        <v>35</v>
      </c>
      <c r="M156" t="s">
        <v>35</v>
      </c>
      <c r="N156" t="s">
        <v>35</v>
      </c>
      <c r="O156" t="s">
        <v>35</v>
      </c>
      <c r="P156" t="s">
        <v>35</v>
      </c>
      <c r="Q156" t="s">
        <v>35</v>
      </c>
    </row>
    <row r="157" spans="1:17">
      <c r="A157" t="s">
        <v>157</v>
      </c>
      <c r="B157" t="s">
        <v>156</v>
      </c>
      <c r="C157">
        <v>1750</v>
      </c>
      <c r="D157">
        <v>1750</v>
      </c>
      <c r="E157">
        <v>1750</v>
      </c>
      <c r="F157" t="s">
        <v>35</v>
      </c>
      <c r="G157" t="s">
        <v>35</v>
      </c>
      <c r="H157" t="s">
        <v>35</v>
      </c>
      <c r="I157" t="s">
        <v>35</v>
      </c>
      <c r="J157" t="s">
        <v>35</v>
      </c>
      <c r="K157" t="s">
        <v>35</v>
      </c>
      <c r="L157" t="s">
        <v>35</v>
      </c>
      <c r="M157" t="s">
        <v>35</v>
      </c>
      <c r="N157" t="s">
        <v>35</v>
      </c>
      <c r="O157" t="s">
        <v>35</v>
      </c>
      <c r="P157" t="s">
        <v>35</v>
      </c>
      <c r="Q157" t="s">
        <v>35</v>
      </c>
    </row>
    <row r="158" spans="1:17">
      <c r="A158" t="s">
        <v>155</v>
      </c>
      <c r="B158" t="s">
        <v>154</v>
      </c>
      <c r="C158">
        <v>1800</v>
      </c>
      <c r="D158">
        <v>1800</v>
      </c>
      <c r="E158">
        <v>1800</v>
      </c>
      <c r="F158" t="s">
        <v>35</v>
      </c>
      <c r="G158" t="s">
        <v>35</v>
      </c>
      <c r="H158" t="s">
        <v>35</v>
      </c>
      <c r="I158" t="s">
        <v>35</v>
      </c>
      <c r="J158" t="s">
        <v>35</v>
      </c>
      <c r="K158" t="s">
        <v>35</v>
      </c>
      <c r="L158" t="s">
        <v>35</v>
      </c>
      <c r="M158" t="s">
        <v>35</v>
      </c>
      <c r="N158" t="s">
        <v>35</v>
      </c>
      <c r="O158" t="s">
        <v>35</v>
      </c>
      <c r="P158" t="s">
        <v>35</v>
      </c>
      <c r="Q158" t="s">
        <v>35</v>
      </c>
    </row>
    <row r="159" spans="1:17">
      <c r="A159" t="s">
        <v>153</v>
      </c>
      <c r="B159" t="s">
        <v>152</v>
      </c>
      <c r="C159">
        <v>9000</v>
      </c>
      <c r="D159">
        <v>9000</v>
      </c>
      <c r="E159">
        <v>9000</v>
      </c>
      <c r="F159" t="s">
        <v>35</v>
      </c>
      <c r="G159" t="s">
        <v>35</v>
      </c>
      <c r="H159" t="s">
        <v>35</v>
      </c>
      <c r="I159" t="s">
        <v>35</v>
      </c>
      <c r="J159" t="s">
        <v>35</v>
      </c>
      <c r="K159" t="s">
        <v>35</v>
      </c>
      <c r="L159" t="s">
        <v>35</v>
      </c>
      <c r="M159" t="s">
        <v>35</v>
      </c>
      <c r="N159" t="s">
        <v>35</v>
      </c>
      <c r="O159" t="s">
        <v>35</v>
      </c>
      <c r="P159" t="s">
        <v>35</v>
      </c>
      <c r="Q159" t="s">
        <v>35</v>
      </c>
    </row>
    <row r="160" spans="1:17">
      <c r="A160" t="s">
        <v>151</v>
      </c>
      <c r="B160" t="s">
        <v>150</v>
      </c>
      <c r="C160">
        <v>700</v>
      </c>
      <c r="D160">
        <v>700</v>
      </c>
      <c r="E160">
        <v>700</v>
      </c>
      <c r="F160" t="s">
        <v>35</v>
      </c>
      <c r="G160" t="s">
        <v>35</v>
      </c>
      <c r="H160" t="s">
        <v>35</v>
      </c>
      <c r="I160" t="s">
        <v>35</v>
      </c>
      <c r="J160" t="s">
        <v>35</v>
      </c>
      <c r="K160" t="s">
        <v>35</v>
      </c>
      <c r="L160" t="s">
        <v>35</v>
      </c>
      <c r="M160" t="s">
        <v>35</v>
      </c>
      <c r="N160" t="s">
        <v>35</v>
      </c>
      <c r="O160" t="s">
        <v>35</v>
      </c>
      <c r="P160" t="s">
        <v>35</v>
      </c>
      <c r="Q160" t="s">
        <v>35</v>
      </c>
    </row>
    <row r="161" spans="1:17">
      <c r="A161" t="s">
        <v>149</v>
      </c>
      <c r="B161" t="s">
        <v>148</v>
      </c>
      <c r="C161">
        <v>600</v>
      </c>
      <c r="D161">
        <v>600</v>
      </c>
      <c r="E161">
        <v>600</v>
      </c>
      <c r="F161" t="s">
        <v>35</v>
      </c>
      <c r="G161" t="s">
        <v>35</v>
      </c>
      <c r="H161" t="s">
        <v>35</v>
      </c>
      <c r="I161" t="s">
        <v>35</v>
      </c>
      <c r="J161" t="s">
        <v>35</v>
      </c>
      <c r="K161" t="s">
        <v>35</v>
      </c>
      <c r="L161" t="s">
        <v>35</v>
      </c>
      <c r="M161" t="s">
        <v>35</v>
      </c>
      <c r="N161" t="s">
        <v>35</v>
      </c>
      <c r="O161" t="s">
        <v>35</v>
      </c>
      <c r="P161" t="s">
        <v>35</v>
      </c>
      <c r="Q161" t="s">
        <v>35</v>
      </c>
    </row>
    <row r="162" spans="1:17">
      <c r="A162" t="s">
        <v>147</v>
      </c>
      <c r="B162" t="s">
        <v>146</v>
      </c>
      <c r="C162">
        <v>3000</v>
      </c>
      <c r="D162">
        <v>3000</v>
      </c>
      <c r="E162">
        <v>3000</v>
      </c>
      <c r="F162" t="s">
        <v>35</v>
      </c>
      <c r="G162" t="s">
        <v>35</v>
      </c>
      <c r="H162" t="s">
        <v>35</v>
      </c>
      <c r="I162" t="s">
        <v>35</v>
      </c>
      <c r="J162" t="s">
        <v>35</v>
      </c>
      <c r="K162" t="s">
        <v>35</v>
      </c>
      <c r="L162" t="s">
        <v>35</v>
      </c>
      <c r="M162" t="s">
        <v>35</v>
      </c>
      <c r="N162" t="s">
        <v>35</v>
      </c>
      <c r="O162" t="s">
        <v>35</v>
      </c>
      <c r="P162" t="s">
        <v>35</v>
      </c>
      <c r="Q162" t="s">
        <v>35</v>
      </c>
    </row>
    <row r="163" spans="1:17">
      <c r="A163" t="s">
        <v>145</v>
      </c>
      <c r="B163" t="s">
        <v>144</v>
      </c>
      <c r="C163">
        <v>2200</v>
      </c>
      <c r="D163">
        <v>2200</v>
      </c>
      <c r="E163">
        <v>2200</v>
      </c>
      <c r="F163" t="s">
        <v>35</v>
      </c>
      <c r="G163" t="s">
        <v>35</v>
      </c>
      <c r="H163" t="s">
        <v>35</v>
      </c>
      <c r="I163" t="s">
        <v>35</v>
      </c>
      <c r="J163" t="s">
        <v>35</v>
      </c>
      <c r="K163" t="s">
        <v>35</v>
      </c>
      <c r="L163" t="s">
        <v>35</v>
      </c>
      <c r="M163" t="s">
        <v>35</v>
      </c>
      <c r="N163" t="s">
        <v>35</v>
      </c>
      <c r="O163" t="s">
        <v>35</v>
      </c>
      <c r="P163" t="s">
        <v>35</v>
      </c>
      <c r="Q163" t="s">
        <v>35</v>
      </c>
    </row>
    <row r="164" spans="1:17">
      <c r="A164" t="s">
        <v>143</v>
      </c>
      <c r="B164" t="s">
        <v>142</v>
      </c>
      <c r="C164">
        <v>1700</v>
      </c>
      <c r="D164">
        <v>1700</v>
      </c>
      <c r="E164">
        <v>1700</v>
      </c>
      <c r="F164" t="s">
        <v>35</v>
      </c>
      <c r="G164" t="s">
        <v>35</v>
      </c>
      <c r="H164" t="s">
        <v>35</v>
      </c>
      <c r="I164" t="s">
        <v>35</v>
      </c>
      <c r="J164" t="s">
        <v>35</v>
      </c>
      <c r="K164" t="s">
        <v>35</v>
      </c>
      <c r="L164" t="s">
        <v>35</v>
      </c>
      <c r="M164" t="s">
        <v>35</v>
      </c>
      <c r="N164" t="s">
        <v>35</v>
      </c>
      <c r="O164" t="s">
        <v>35</v>
      </c>
      <c r="P164" t="s">
        <v>35</v>
      </c>
      <c r="Q164" t="s">
        <v>35</v>
      </c>
    </row>
    <row r="165" spans="1:17">
      <c r="A165" t="s">
        <v>141</v>
      </c>
      <c r="B165" t="s">
        <v>140</v>
      </c>
      <c r="C165">
        <v>12000</v>
      </c>
      <c r="D165">
        <v>12000</v>
      </c>
      <c r="E165">
        <v>12000</v>
      </c>
      <c r="F165" t="s">
        <v>35</v>
      </c>
      <c r="G165" t="s">
        <v>35</v>
      </c>
      <c r="H165" t="s">
        <v>35</v>
      </c>
      <c r="I165" t="s">
        <v>35</v>
      </c>
      <c r="J165" t="s">
        <v>35</v>
      </c>
      <c r="K165" t="s">
        <v>35</v>
      </c>
      <c r="L165" t="s">
        <v>35</v>
      </c>
      <c r="M165" t="s">
        <v>35</v>
      </c>
      <c r="N165" t="s">
        <v>35</v>
      </c>
      <c r="O165" t="s">
        <v>35</v>
      </c>
      <c r="P165" t="s">
        <v>35</v>
      </c>
      <c r="Q165" t="s">
        <v>35</v>
      </c>
    </row>
    <row r="166" spans="1:17">
      <c r="A166" t="s">
        <v>139</v>
      </c>
      <c r="B166" t="s">
        <v>138</v>
      </c>
      <c r="C166">
        <v>700</v>
      </c>
      <c r="D166">
        <v>700</v>
      </c>
      <c r="E166">
        <v>700</v>
      </c>
      <c r="F166" t="s">
        <v>35</v>
      </c>
      <c r="G166" t="s">
        <v>35</v>
      </c>
      <c r="H166" t="s">
        <v>35</v>
      </c>
      <c r="I166" t="s">
        <v>35</v>
      </c>
      <c r="J166" t="s">
        <v>35</v>
      </c>
      <c r="K166" t="s">
        <v>35</v>
      </c>
      <c r="L166" t="s">
        <v>35</v>
      </c>
      <c r="M166" t="s">
        <v>35</v>
      </c>
      <c r="N166" t="s">
        <v>35</v>
      </c>
      <c r="O166" t="s">
        <v>35</v>
      </c>
      <c r="P166" t="s">
        <v>35</v>
      </c>
      <c r="Q166" t="s">
        <v>35</v>
      </c>
    </row>
    <row r="167" spans="1:17">
      <c r="A167" t="s">
        <v>137</v>
      </c>
      <c r="B167" t="s">
        <v>136</v>
      </c>
      <c r="C167">
        <v>1500</v>
      </c>
      <c r="D167">
        <v>1500</v>
      </c>
      <c r="E167">
        <v>1500</v>
      </c>
      <c r="F167" t="s">
        <v>35</v>
      </c>
      <c r="G167" t="s">
        <v>35</v>
      </c>
      <c r="H167" t="s">
        <v>35</v>
      </c>
      <c r="I167" t="s">
        <v>35</v>
      </c>
      <c r="J167" t="s">
        <v>35</v>
      </c>
      <c r="K167" t="s">
        <v>35</v>
      </c>
      <c r="L167" t="s">
        <v>35</v>
      </c>
      <c r="M167" t="s">
        <v>35</v>
      </c>
      <c r="N167" t="s">
        <v>35</v>
      </c>
      <c r="O167" t="s">
        <v>35</v>
      </c>
      <c r="P167" t="s">
        <v>35</v>
      </c>
      <c r="Q167" t="s">
        <v>35</v>
      </c>
    </row>
    <row r="168" spans="1:17">
      <c r="A168" t="s">
        <v>135</v>
      </c>
      <c r="B168" t="s">
        <v>134</v>
      </c>
      <c r="C168">
        <v>750</v>
      </c>
      <c r="D168">
        <v>750</v>
      </c>
      <c r="E168">
        <v>750</v>
      </c>
      <c r="F168" t="s">
        <v>35</v>
      </c>
      <c r="G168" t="s">
        <v>35</v>
      </c>
      <c r="H168" t="s">
        <v>35</v>
      </c>
      <c r="I168" t="s">
        <v>35</v>
      </c>
      <c r="J168" t="s">
        <v>35</v>
      </c>
      <c r="K168" t="s">
        <v>35</v>
      </c>
      <c r="L168" t="s">
        <v>35</v>
      </c>
      <c r="M168" t="s">
        <v>35</v>
      </c>
      <c r="N168" t="s">
        <v>35</v>
      </c>
      <c r="O168" t="s">
        <v>35</v>
      </c>
      <c r="P168" t="s">
        <v>35</v>
      </c>
      <c r="Q168" t="s">
        <v>35</v>
      </c>
    </row>
    <row r="169" spans="1:17">
      <c r="A169" t="s">
        <v>133</v>
      </c>
      <c r="B169" t="s">
        <v>132</v>
      </c>
      <c r="C169">
        <v>11000</v>
      </c>
      <c r="D169">
        <v>11000</v>
      </c>
      <c r="E169">
        <v>11000</v>
      </c>
      <c r="F169" t="s">
        <v>35</v>
      </c>
      <c r="G169" t="s">
        <v>35</v>
      </c>
      <c r="H169" t="s">
        <v>35</v>
      </c>
      <c r="I169" t="s">
        <v>35</v>
      </c>
      <c r="J169" t="s">
        <v>35</v>
      </c>
      <c r="K169" t="s">
        <v>35</v>
      </c>
      <c r="L169" t="s">
        <v>35</v>
      </c>
      <c r="M169" t="s">
        <v>35</v>
      </c>
      <c r="N169" t="s">
        <v>35</v>
      </c>
      <c r="O169" t="s">
        <v>35</v>
      </c>
      <c r="P169" t="s">
        <v>35</v>
      </c>
      <c r="Q169" t="s">
        <v>35</v>
      </c>
    </row>
    <row r="170" spans="1:17">
      <c r="A170" t="s">
        <v>131</v>
      </c>
      <c r="B170" t="s">
        <v>130</v>
      </c>
      <c r="C170">
        <v>600</v>
      </c>
      <c r="D170">
        <v>600</v>
      </c>
      <c r="E170">
        <v>600</v>
      </c>
      <c r="F170" t="s">
        <v>35</v>
      </c>
      <c r="G170" t="s">
        <v>35</v>
      </c>
      <c r="H170" t="s">
        <v>35</v>
      </c>
      <c r="I170" t="s">
        <v>35</v>
      </c>
      <c r="J170" t="s">
        <v>35</v>
      </c>
      <c r="K170" t="s">
        <v>35</v>
      </c>
      <c r="L170" t="s">
        <v>35</v>
      </c>
      <c r="M170" t="s">
        <v>35</v>
      </c>
      <c r="N170" t="s">
        <v>35</v>
      </c>
      <c r="O170" t="s">
        <v>35</v>
      </c>
      <c r="P170" t="s">
        <v>35</v>
      </c>
      <c r="Q170" t="s">
        <v>35</v>
      </c>
    </row>
    <row r="171" spans="1:17">
      <c r="A171" t="s">
        <v>129</v>
      </c>
      <c r="B171" t="s">
        <v>128</v>
      </c>
      <c r="C171">
        <v>20000</v>
      </c>
      <c r="D171">
        <v>20000</v>
      </c>
      <c r="E171">
        <v>20000</v>
      </c>
      <c r="F171" t="s">
        <v>35</v>
      </c>
      <c r="G171" t="s">
        <v>35</v>
      </c>
      <c r="H171" t="s">
        <v>35</v>
      </c>
      <c r="I171" t="s">
        <v>35</v>
      </c>
      <c r="J171" t="s">
        <v>35</v>
      </c>
      <c r="K171" t="s">
        <v>35</v>
      </c>
      <c r="L171" t="s">
        <v>35</v>
      </c>
      <c r="M171" t="s">
        <v>35</v>
      </c>
      <c r="N171" t="s">
        <v>35</v>
      </c>
      <c r="O171" t="s">
        <v>35</v>
      </c>
      <c r="P171" t="s">
        <v>35</v>
      </c>
      <c r="Q171" t="s">
        <v>35</v>
      </c>
    </row>
    <row r="172" spans="1:17">
      <c r="A172" t="s">
        <v>127</v>
      </c>
      <c r="B172" t="s">
        <v>126</v>
      </c>
      <c r="C172">
        <v>1000</v>
      </c>
      <c r="D172">
        <v>1000</v>
      </c>
      <c r="E172">
        <v>1000</v>
      </c>
      <c r="F172" t="s">
        <v>35</v>
      </c>
      <c r="G172" t="s">
        <v>35</v>
      </c>
      <c r="H172" t="s">
        <v>35</v>
      </c>
      <c r="I172" t="s">
        <v>35</v>
      </c>
      <c r="J172" t="s">
        <v>35</v>
      </c>
      <c r="K172" t="s">
        <v>35</v>
      </c>
      <c r="L172" t="s">
        <v>35</v>
      </c>
      <c r="M172" t="s">
        <v>35</v>
      </c>
      <c r="N172" t="s">
        <v>35</v>
      </c>
      <c r="O172" t="s">
        <v>35</v>
      </c>
      <c r="P172" t="s">
        <v>35</v>
      </c>
      <c r="Q172" t="s">
        <v>35</v>
      </c>
    </row>
    <row r="173" spans="1:17">
      <c r="A173" t="s">
        <v>125</v>
      </c>
      <c r="B173" t="s">
        <v>124</v>
      </c>
      <c r="C173">
        <v>4500</v>
      </c>
      <c r="D173">
        <v>4500</v>
      </c>
      <c r="E173">
        <v>4500</v>
      </c>
      <c r="F173" t="s">
        <v>35</v>
      </c>
      <c r="G173" t="s">
        <v>35</v>
      </c>
      <c r="H173" t="s">
        <v>35</v>
      </c>
      <c r="I173" t="s">
        <v>35</v>
      </c>
      <c r="J173" t="s">
        <v>35</v>
      </c>
      <c r="K173" t="s">
        <v>35</v>
      </c>
      <c r="L173" t="s">
        <v>35</v>
      </c>
      <c r="M173" t="s">
        <v>35</v>
      </c>
      <c r="N173" t="s">
        <v>35</v>
      </c>
      <c r="O173" t="s">
        <v>35</v>
      </c>
      <c r="P173" t="s">
        <v>35</v>
      </c>
      <c r="Q173" t="s">
        <v>35</v>
      </c>
    </row>
    <row r="174" spans="1:17">
      <c r="A174" t="s">
        <v>123</v>
      </c>
      <c r="B174" t="s">
        <v>122</v>
      </c>
      <c r="C174">
        <v>700</v>
      </c>
      <c r="D174">
        <v>700</v>
      </c>
      <c r="E174">
        <v>700</v>
      </c>
      <c r="F174" t="s">
        <v>35</v>
      </c>
      <c r="G174" t="s">
        <v>35</v>
      </c>
      <c r="H174" t="s">
        <v>35</v>
      </c>
      <c r="I174" t="s">
        <v>35</v>
      </c>
      <c r="J174" t="s">
        <v>35</v>
      </c>
      <c r="K174" t="s">
        <v>35</v>
      </c>
      <c r="L174" t="s">
        <v>35</v>
      </c>
      <c r="M174" t="s">
        <v>35</v>
      </c>
      <c r="N174" t="s">
        <v>35</v>
      </c>
      <c r="O174" t="s">
        <v>35</v>
      </c>
      <c r="P174" t="s">
        <v>35</v>
      </c>
      <c r="Q174" t="s">
        <v>35</v>
      </c>
    </row>
    <row r="175" spans="1:17">
      <c r="A175" t="s">
        <v>121</v>
      </c>
      <c r="B175" t="s">
        <v>120</v>
      </c>
      <c r="C175">
        <v>1000</v>
      </c>
      <c r="D175">
        <v>1000</v>
      </c>
      <c r="E175">
        <v>1000</v>
      </c>
      <c r="F175" t="s">
        <v>35</v>
      </c>
      <c r="G175" t="s">
        <v>35</v>
      </c>
      <c r="H175" t="s">
        <v>35</v>
      </c>
      <c r="I175" t="s">
        <v>35</v>
      </c>
      <c r="J175" t="s">
        <v>35</v>
      </c>
      <c r="K175" t="s">
        <v>35</v>
      </c>
      <c r="L175" t="s">
        <v>35</v>
      </c>
      <c r="M175" t="s">
        <v>35</v>
      </c>
      <c r="N175" t="s">
        <v>35</v>
      </c>
      <c r="O175" t="s">
        <v>35</v>
      </c>
      <c r="P175" t="s">
        <v>35</v>
      </c>
      <c r="Q175" t="s">
        <v>35</v>
      </c>
    </row>
    <row r="176" spans="1:17">
      <c r="A176" t="s">
        <v>119</v>
      </c>
      <c r="B176" t="s">
        <v>118</v>
      </c>
      <c r="C176">
        <v>13000</v>
      </c>
      <c r="D176" t="s">
        <v>35</v>
      </c>
      <c r="E176" t="s">
        <v>35</v>
      </c>
      <c r="F176" t="s">
        <v>35</v>
      </c>
      <c r="G176" t="s">
        <v>35</v>
      </c>
      <c r="H176" t="s">
        <v>35</v>
      </c>
      <c r="I176" t="s">
        <v>35</v>
      </c>
      <c r="J176" t="s">
        <v>35</v>
      </c>
      <c r="K176" t="s">
        <v>35</v>
      </c>
      <c r="L176" t="s">
        <v>35</v>
      </c>
      <c r="M176" t="s">
        <v>35</v>
      </c>
      <c r="N176" t="s">
        <v>35</v>
      </c>
      <c r="O176" t="s">
        <v>35</v>
      </c>
      <c r="P176" t="s">
        <v>35</v>
      </c>
      <c r="Q176" t="s">
        <v>35</v>
      </c>
    </row>
    <row r="177" spans="1:17">
      <c r="A177" t="s">
        <v>117</v>
      </c>
      <c r="B177" t="s">
        <v>116</v>
      </c>
      <c r="C177">
        <v>7000</v>
      </c>
      <c r="D177" t="s">
        <v>35</v>
      </c>
      <c r="E177" t="s">
        <v>35</v>
      </c>
      <c r="F177" t="s">
        <v>35</v>
      </c>
      <c r="G177" t="s">
        <v>35</v>
      </c>
      <c r="H177" t="s">
        <v>35</v>
      </c>
      <c r="I177" t="s">
        <v>35</v>
      </c>
      <c r="J177" t="s">
        <v>35</v>
      </c>
      <c r="K177" t="s">
        <v>35</v>
      </c>
      <c r="L177" t="s">
        <v>35</v>
      </c>
      <c r="M177" t="s">
        <v>35</v>
      </c>
      <c r="N177" t="s">
        <v>35</v>
      </c>
      <c r="O177" t="s">
        <v>35</v>
      </c>
      <c r="P177" t="s">
        <v>35</v>
      </c>
      <c r="Q177" t="s">
        <v>35</v>
      </c>
    </row>
    <row r="178" spans="1:17">
      <c r="A178" t="s">
        <v>115</v>
      </c>
      <c r="B178" t="s">
        <v>114</v>
      </c>
      <c r="C178">
        <v>4000</v>
      </c>
      <c r="D178">
        <v>4000</v>
      </c>
      <c r="E178">
        <v>4000</v>
      </c>
      <c r="F178" t="s">
        <v>35</v>
      </c>
      <c r="G178" t="s">
        <v>35</v>
      </c>
      <c r="H178" t="s">
        <v>35</v>
      </c>
      <c r="I178" t="s">
        <v>35</v>
      </c>
      <c r="J178" t="s">
        <v>35</v>
      </c>
      <c r="K178" t="s">
        <v>35</v>
      </c>
      <c r="L178" t="s">
        <v>35</v>
      </c>
      <c r="M178" t="s">
        <v>35</v>
      </c>
      <c r="N178" t="s">
        <v>35</v>
      </c>
      <c r="O178" t="s">
        <v>35</v>
      </c>
      <c r="P178" t="s">
        <v>35</v>
      </c>
      <c r="Q178" t="s">
        <v>35</v>
      </c>
    </row>
    <row r="179" spans="1:17">
      <c r="A179" t="s">
        <v>113</v>
      </c>
      <c r="B179" t="s">
        <v>112</v>
      </c>
      <c r="C179">
        <v>300</v>
      </c>
      <c r="D179">
        <v>300</v>
      </c>
      <c r="E179">
        <v>300</v>
      </c>
      <c r="F179" t="s">
        <v>35</v>
      </c>
      <c r="G179" t="s">
        <v>35</v>
      </c>
      <c r="H179" t="s">
        <v>35</v>
      </c>
      <c r="I179" t="s">
        <v>35</v>
      </c>
      <c r="J179" t="s">
        <v>35</v>
      </c>
      <c r="K179" t="s">
        <v>35</v>
      </c>
      <c r="L179" t="s">
        <v>35</v>
      </c>
      <c r="M179" t="s">
        <v>35</v>
      </c>
      <c r="N179" t="s">
        <v>35</v>
      </c>
      <c r="O179" t="s">
        <v>35</v>
      </c>
      <c r="P179" t="s">
        <v>35</v>
      </c>
      <c r="Q179" t="s">
        <v>35</v>
      </c>
    </row>
    <row r="180" spans="1:17">
      <c r="A180" t="s">
        <v>111</v>
      </c>
      <c r="B180" t="s">
        <v>110</v>
      </c>
      <c r="C180">
        <v>500</v>
      </c>
      <c r="D180">
        <v>500</v>
      </c>
      <c r="E180">
        <v>500</v>
      </c>
      <c r="F180" t="s">
        <v>35</v>
      </c>
      <c r="G180" t="s">
        <v>35</v>
      </c>
      <c r="H180" t="s">
        <v>35</v>
      </c>
      <c r="I180" t="s">
        <v>35</v>
      </c>
      <c r="J180" t="s">
        <v>35</v>
      </c>
      <c r="K180" t="s">
        <v>35</v>
      </c>
      <c r="L180" t="s">
        <v>35</v>
      </c>
      <c r="M180" t="s">
        <v>35</v>
      </c>
      <c r="N180" t="s">
        <v>35</v>
      </c>
      <c r="O180" t="s">
        <v>35</v>
      </c>
      <c r="P180" t="s">
        <v>35</v>
      </c>
      <c r="Q180" t="s">
        <v>35</v>
      </c>
    </row>
    <row r="181" spans="1:17">
      <c r="A181" t="s">
        <v>109</v>
      </c>
      <c r="B181" t="s">
        <v>108</v>
      </c>
      <c r="C181">
        <v>3000</v>
      </c>
      <c r="D181">
        <v>3000</v>
      </c>
      <c r="E181">
        <v>3000</v>
      </c>
      <c r="F181" t="s">
        <v>35</v>
      </c>
      <c r="G181" t="s">
        <v>35</v>
      </c>
      <c r="H181" t="s">
        <v>35</v>
      </c>
      <c r="I181" t="s">
        <v>35</v>
      </c>
      <c r="J181" t="s">
        <v>35</v>
      </c>
      <c r="K181" t="s">
        <v>35</v>
      </c>
      <c r="L181" t="s">
        <v>35</v>
      </c>
      <c r="M181" t="s">
        <v>35</v>
      </c>
      <c r="N181" t="s">
        <v>35</v>
      </c>
      <c r="O181" t="s">
        <v>35</v>
      </c>
      <c r="P181" t="s">
        <v>35</v>
      </c>
      <c r="Q181" t="s">
        <v>35</v>
      </c>
    </row>
    <row r="182" spans="1:17">
      <c r="A182" t="s">
        <v>107</v>
      </c>
      <c r="B182" t="s">
        <v>106</v>
      </c>
      <c r="C182">
        <v>2000</v>
      </c>
      <c r="D182">
        <v>2000</v>
      </c>
      <c r="E182">
        <v>2000</v>
      </c>
      <c r="F182" t="s">
        <v>35</v>
      </c>
      <c r="G182" t="s">
        <v>35</v>
      </c>
      <c r="H182" t="s">
        <v>35</v>
      </c>
      <c r="I182" t="s">
        <v>35</v>
      </c>
      <c r="J182" t="s">
        <v>35</v>
      </c>
      <c r="K182" t="s">
        <v>35</v>
      </c>
      <c r="L182" t="s">
        <v>35</v>
      </c>
      <c r="M182" t="s">
        <v>35</v>
      </c>
      <c r="N182" t="s">
        <v>35</v>
      </c>
      <c r="O182" t="s">
        <v>35</v>
      </c>
      <c r="P182" t="s">
        <v>35</v>
      </c>
      <c r="Q182" t="s">
        <v>35</v>
      </c>
    </row>
    <row r="183" spans="1:17">
      <c r="A183" t="s">
        <v>105</v>
      </c>
      <c r="B183" t="s">
        <v>104</v>
      </c>
      <c r="C183">
        <v>13000</v>
      </c>
      <c r="D183">
        <v>13000</v>
      </c>
      <c r="E183">
        <v>13000</v>
      </c>
      <c r="F183" t="s">
        <v>35</v>
      </c>
      <c r="G183" t="s">
        <v>35</v>
      </c>
      <c r="H183" t="s">
        <v>35</v>
      </c>
      <c r="I183" t="s">
        <v>35</v>
      </c>
      <c r="J183" t="s">
        <v>35</v>
      </c>
      <c r="K183" t="s">
        <v>35</v>
      </c>
      <c r="L183" t="s">
        <v>35</v>
      </c>
      <c r="M183" t="s">
        <v>35</v>
      </c>
      <c r="N183" t="s">
        <v>35</v>
      </c>
      <c r="O183" t="s">
        <v>35</v>
      </c>
      <c r="P183" t="s">
        <v>35</v>
      </c>
      <c r="Q183" t="s">
        <v>35</v>
      </c>
    </row>
    <row r="184" spans="1:17">
      <c r="A184" t="s">
        <v>103</v>
      </c>
      <c r="B184" t="s">
        <v>102</v>
      </c>
      <c r="C184">
        <v>7000</v>
      </c>
      <c r="D184">
        <v>7000</v>
      </c>
      <c r="E184">
        <v>7000</v>
      </c>
      <c r="F184" t="s">
        <v>35</v>
      </c>
      <c r="G184" t="s">
        <v>35</v>
      </c>
      <c r="H184" t="s">
        <v>35</v>
      </c>
      <c r="I184" t="s">
        <v>35</v>
      </c>
      <c r="J184" t="s">
        <v>35</v>
      </c>
      <c r="K184" t="s">
        <v>35</v>
      </c>
      <c r="L184" t="s">
        <v>35</v>
      </c>
      <c r="M184" t="s">
        <v>35</v>
      </c>
      <c r="N184" t="s">
        <v>35</v>
      </c>
      <c r="O184" t="s">
        <v>35</v>
      </c>
      <c r="P184" t="s">
        <v>35</v>
      </c>
      <c r="Q184" t="s">
        <v>35</v>
      </c>
    </row>
    <row r="185" spans="1:17">
      <c r="A185" t="s">
        <v>101</v>
      </c>
      <c r="B185" t="s">
        <v>100</v>
      </c>
      <c r="C185">
        <v>1200</v>
      </c>
      <c r="D185">
        <v>1200</v>
      </c>
      <c r="E185">
        <v>1200</v>
      </c>
      <c r="F185" t="s">
        <v>35</v>
      </c>
      <c r="G185" t="s">
        <v>35</v>
      </c>
      <c r="H185" t="s">
        <v>35</v>
      </c>
      <c r="I185" t="s">
        <v>35</v>
      </c>
      <c r="J185" t="s">
        <v>35</v>
      </c>
      <c r="K185" t="s">
        <v>35</v>
      </c>
      <c r="L185" t="s">
        <v>35</v>
      </c>
      <c r="M185" t="s">
        <v>35</v>
      </c>
      <c r="N185" t="s">
        <v>35</v>
      </c>
      <c r="O185" t="s">
        <v>35</v>
      </c>
      <c r="P185" t="s">
        <v>35</v>
      </c>
      <c r="Q185" t="s">
        <v>35</v>
      </c>
    </row>
    <row r="186" spans="1:17">
      <c r="A186" t="s">
        <v>99</v>
      </c>
      <c r="B186" t="s">
        <v>98</v>
      </c>
      <c r="C186">
        <v>800</v>
      </c>
      <c r="D186">
        <v>800</v>
      </c>
      <c r="E186">
        <v>800</v>
      </c>
      <c r="F186" t="s">
        <v>35</v>
      </c>
      <c r="G186" t="s">
        <v>35</v>
      </c>
      <c r="H186" t="s">
        <v>35</v>
      </c>
      <c r="I186" t="s">
        <v>35</v>
      </c>
      <c r="J186" t="s">
        <v>35</v>
      </c>
      <c r="K186" t="s">
        <v>35</v>
      </c>
      <c r="L186" t="s">
        <v>35</v>
      </c>
      <c r="M186" t="s">
        <v>35</v>
      </c>
      <c r="N186" t="s">
        <v>35</v>
      </c>
      <c r="O186" t="s">
        <v>35</v>
      </c>
      <c r="P186" t="s">
        <v>35</v>
      </c>
      <c r="Q186" t="s">
        <v>35</v>
      </c>
    </row>
    <row r="187" spans="1:17">
      <c r="A187" t="s">
        <v>97</v>
      </c>
      <c r="B187" t="s">
        <v>96</v>
      </c>
      <c r="C187">
        <v>3000</v>
      </c>
      <c r="D187">
        <v>3000</v>
      </c>
      <c r="E187">
        <v>3000</v>
      </c>
      <c r="F187" t="s">
        <v>35</v>
      </c>
      <c r="G187" t="s">
        <v>35</v>
      </c>
      <c r="H187" t="s">
        <v>35</v>
      </c>
      <c r="I187" t="s">
        <v>35</v>
      </c>
      <c r="J187" t="s">
        <v>35</v>
      </c>
      <c r="K187" t="s">
        <v>35</v>
      </c>
      <c r="L187" t="s">
        <v>35</v>
      </c>
      <c r="M187" t="s">
        <v>35</v>
      </c>
      <c r="N187" t="s">
        <v>35</v>
      </c>
      <c r="O187" t="s">
        <v>35</v>
      </c>
      <c r="P187" t="s">
        <v>35</v>
      </c>
      <c r="Q187" t="s">
        <v>35</v>
      </c>
    </row>
    <row r="188" spans="1:17">
      <c r="A188" t="s">
        <v>95</v>
      </c>
      <c r="B188" t="s">
        <v>94</v>
      </c>
      <c r="C188">
        <v>8500</v>
      </c>
      <c r="D188">
        <v>8500</v>
      </c>
      <c r="E188">
        <v>8500</v>
      </c>
      <c r="F188" t="s">
        <v>35</v>
      </c>
      <c r="G188" t="s">
        <v>35</v>
      </c>
      <c r="H188" t="s">
        <v>35</v>
      </c>
      <c r="I188" t="s">
        <v>35</v>
      </c>
      <c r="J188" t="s">
        <v>35</v>
      </c>
      <c r="K188" t="s">
        <v>35</v>
      </c>
      <c r="L188" t="s">
        <v>35</v>
      </c>
      <c r="M188" t="s">
        <v>35</v>
      </c>
      <c r="N188" t="s">
        <v>35</v>
      </c>
      <c r="O188" t="s">
        <v>35</v>
      </c>
      <c r="P188" t="s">
        <v>35</v>
      </c>
      <c r="Q188" t="s">
        <v>35</v>
      </c>
    </row>
    <row r="189" spans="1:17">
      <c r="A189" t="s">
        <v>93</v>
      </c>
      <c r="B189" t="s">
        <v>92</v>
      </c>
      <c r="C189">
        <v>6000</v>
      </c>
      <c r="D189">
        <v>6000</v>
      </c>
      <c r="E189">
        <v>6000</v>
      </c>
      <c r="F189" t="s">
        <v>35</v>
      </c>
      <c r="G189" t="s">
        <v>35</v>
      </c>
      <c r="H189" t="s">
        <v>35</v>
      </c>
      <c r="I189" t="s">
        <v>35</v>
      </c>
      <c r="J189" t="s">
        <v>35</v>
      </c>
      <c r="K189" t="s">
        <v>35</v>
      </c>
      <c r="L189" t="s">
        <v>35</v>
      </c>
      <c r="M189" t="s">
        <v>35</v>
      </c>
      <c r="N189" t="s">
        <v>35</v>
      </c>
      <c r="O189" t="s">
        <v>35</v>
      </c>
      <c r="P189" t="s">
        <v>35</v>
      </c>
      <c r="Q189" t="s">
        <v>35</v>
      </c>
    </row>
    <row r="190" spans="1:17">
      <c r="A190" t="s">
        <v>91</v>
      </c>
      <c r="B190" t="s">
        <v>90</v>
      </c>
      <c r="C190">
        <v>4000</v>
      </c>
      <c r="D190">
        <v>4000</v>
      </c>
      <c r="E190">
        <v>4000</v>
      </c>
      <c r="F190" t="s">
        <v>35</v>
      </c>
      <c r="G190" t="s">
        <v>35</v>
      </c>
      <c r="H190" t="s">
        <v>35</v>
      </c>
      <c r="I190" t="s">
        <v>35</v>
      </c>
      <c r="J190" t="s">
        <v>35</v>
      </c>
      <c r="K190" t="s">
        <v>35</v>
      </c>
      <c r="L190" t="s">
        <v>35</v>
      </c>
      <c r="M190" t="s">
        <v>35</v>
      </c>
      <c r="N190" t="s">
        <v>35</v>
      </c>
      <c r="O190" t="s">
        <v>35</v>
      </c>
      <c r="P190" t="s">
        <v>35</v>
      </c>
      <c r="Q190" t="s">
        <v>35</v>
      </c>
    </row>
    <row r="191" spans="1:17">
      <c r="A191" t="s">
        <v>89</v>
      </c>
      <c r="B191" t="s">
        <v>88</v>
      </c>
      <c r="C191">
        <v>125</v>
      </c>
      <c r="D191">
        <v>125</v>
      </c>
      <c r="E191">
        <v>125</v>
      </c>
      <c r="F191" t="s">
        <v>35</v>
      </c>
      <c r="G191" t="s">
        <v>35</v>
      </c>
      <c r="H191" t="s">
        <v>35</v>
      </c>
      <c r="I191" t="s">
        <v>35</v>
      </c>
      <c r="J191" t="s">
        <v>35</v>
      </c>
      <c r="K191" t="s">
        <v>35</v>
      </c>
      <c r="L191" t="s">
        <v>35</v>
      </c>
      <c r="M191" t="s">
        <v>35</v>
      </c>
      <c r="N191" t="s">
        <v>35</v>
      </c>
      <c r="O191" t="s">
        <v>35</v>
      </c>
      <c r="P191" t="s">
        <v>35</v>
      </c>
      <c r="Q191" t="s">
        <v>35</v>
      </c>
    </row>
    <row r="192" spans="1:17">
      <c r="A192" t="s">
        <v>87</v>
      </c>
      <c r="B192" t="s">
        <v>86</v>
      </c>
      <c r="C192">
        <v>1700</v>
      </c>
      <c r="D192">
        <v>1700</v>
      </c>
      <c r="E192">
        <v>1700</v>
      </c>
      <c r="F192" t="s">
        <v>35</v>
      </c>
      <c r="G192" t="s">
        <v>35</v>
      </c>
      <c r="H192" t="s">
        <v>35</v>
      </c>
      <c r="I192" t="s">
        <v>35</v>
      </c>
      <c r="J192" t="s">
        <v>35</v>
      </c>
      <c r="K192" t="s">
        <v>35</v>
      </c>
      <c r="L192" t="s">
        <v>35</v>
      </c>
      <c r="M192" t="s">
        <v>35</v>
      </c>
      <c r="N192" t="s">
        <v>35</v>
      </c>
      <c r="O192" t="s">
        <v>35</v>
      </c>
      <c r="P192" t="s">
        <v>35</v>
      </c>
      <c r="Q192" t="s">
        <v>35</v>
      </c>
    </row>
    <row r="193" spans="1:17">
      <c r="A193" t="s">
        <v>85</v>
      </c>
      <c r="B193" t="s">
        <v>84</v>
      </c>
      <c r="C193">
        <v>800</v>
      </c>
      <c r="D193">
        <v>800</v>
      </c>
      <c r="E193">
        <v>800</v>
      </c>
      <c r="F193" t="s">
        <v>35</v>
      </c>
      <c r="G193" t="s">
        <v>35</v>
      </c>
      <c r="H193" t="s">
        <v>35</v>
      </c>
      <c r="I193" t="s">
        <v>35</v>
      </c>
      <c r="J193" t="s">
        <v>35</v>
      </c>
      <c r="K193" t="s">
        <v>35</v>
      </c>
      <c r="L193" t="s">
        <v>35</v>
      </c>
      <c r="M193" t="s">
        <v>35</v>
      </c>
      <c r="N193" t="s">
        <v>35</v>
      </c>
      <c r="O193" t="s">
        <v>35</v>
      </c>
      <c r="P193" t="s">
        <v>35</v>
      </c>
      <c r="Q193" t="s">
        <v>35</v>
      </c>
    </row>
    <row r="194" spans="1:17">
      <c r="A194" t="s">
        <v>83</v>
      </c>
      <c r="B194" t="s">
        <v>82</v>
      </c>
      <c r="C194">
        <v>2600</v>
      </c>
      <c r="D194">
        <v>2600</v>
      </c>
      <c r="E194">
        <v>2600</v>
      </c>
      <c r="F194" t="s">
        <v>35</v>
      </c>
      <c r="G194" t="s">
        <v>35</v>
      </c>
      <c r="H194" t="s">
        <v>35</v>
      </c>
      <c r="I194" t="s">
        <v>35</v>
      </c>
      <c r="J194" t="s">
        <v>35</v>
      </c>
      <c r="K194" t="s">
        <v>35</v>
      </c>
      <c r="L194" t="s">
        <v>35</v>
      </c>
      <c r="M194" t="s">
        <v>35</v>
      </c>
      <c r="N194" t="s">
        <v>35</v>
      </c>
      <c r="O194" t="s">
        <v>35</v>
      </c>
      <c r="P194" t="s">
        <v>35</v>
      </c>
      <c r="Q194" t="s">
        <v>35</v>
      </c>
    </row>
    <row r="195" spans="1:17">
      <c r="A195" t="s">
        <v>81</v>
      </c>
      <c r="B195" t="s">
        <v>80</v>
      </c>
      <c r="C195">
        <v>75</v>
      </c>
      <c r="D195">
        <v>75</v>
      </c>
      <c r="E195">
        <v>75</v>
      </c>
      <c r="F195" t="s">
        <v>35</v>
      </c>
      <c r="G195" t="s">
        <v>35</v>
      </c>
      <c r="H195" t="s">
        <v>35</v>
      </c>
      <c r="I195" t="s">
        <v>35</v>
      </c>
      <c r="J195" t="s">
        <v>35</v>
      </c>
      <c r="K195" t="s">
        <v>35</v>
      </c>
      <c r="L195" t="s">
        <v>35</v>
      </c>
      <c r="M195" t="s">
        <v>35</v>
      </c>
      <c r="N195" t="s">
        <v>35</v>
      </c>
      <c r="O195" t="s">
        <v>35</v>
      </c>
      <c r="P195" t="s">
        <v>35</v>
      </c>
      <c r="Q195" t="s">
        <v>35</v>
      </c>
    </row>
    <row r="196" spans="1:17">
      <c r="A196" t="s">
        <v>79</v>
      </c>
      <c r="B196" t="s">
        <v>78</v>
      </c>
      <c r="C196">
        <v>1000</v>
      </c>
      <c r="D196">
        <v>1000</v>
      </c>
      <c r="E196">
        <v>1000</v>
      </c>
      <c r="F196" t="s">
        <v>35</v>
      </c>
      <c r="G196" t="s">
        <v>35</v>
      </c>
      <c r="H196" t="s">
        <v>35</v>
      </c>
      <c r="I196" t="s">
        <v>35</v>
      </c>
      <c r="J196" t="s">
        <v>35</v>
      </c>
      <c r="K196" t="s">
        <v>35</v>
      </c>
      <c r="L196" t="s">
        <v>35</v>
      </c>
      <c r="M196" t="s">
        <v>35</v>
      </c>
      <c r="N196" t="s">
        <v>35</v>
      </c>
      <c r="O196" t="s">
        <v>35</v>
      </c>
      <c r="P196" t="s">
        <v>35</v>
      </c>
      <c r="Q196" t="s">
        <v>35</v>
      </c>
    </row>
    <row r="197" spans="1:17">
      <c r="A197" t="s">
        <v>77</v>
      </c>
      <c r="B197" t="s">
        <v>76</v>
      </c>
      <c r="C197">
        <v>500</v>
      </c>
      <c r="D197">
        <v>500</v>
      </c>
      <c r="E197">
        <v>500</v>
      </c>
      <c r="F197" t="s">
        <v>35</v>
      </c>
      <c r="G197" t="s">
        <v>35</v>
      </c>
      <c r="H197" t="s">
        <v>35</v>
      </c>
      <c r="I197" t="s">
        <v>35</v>
      </c>
      <c r="J197" t="s">
        <v>35</v>
      </c>
      <c r="K197" t="s">
        <v>35</v>
      </c>
      <c r="L197" t="s">
        <v>35</v>
      </c>
      <c r="M197" t="s">
        <v>35</v>
      </c>
      <c r="N197" t="s">
        <v>35</v>
      </c>
      <c r="O197" t="s">
        <v>35</v>
      </c>
      <c r="P197" t="s">
        <v>35</v>
      </c>
      <c r="Q197" t="s">
        <v>35</v>
      </c>
    </row>
    <row r="198" spans="1:17">
      <c r="A198" t="s">
        <v>75</v>
      </c>
      <c r="B198" t="s">
        <v>74</v>
      </c>
      <c r="C198">
        <v>9000</v>
      </c>
      <c r="D198">
        <v>9000</v>
      </c>
      <c r="E198">
        <v>9000</v>
      </c>
      <c r="F198" t="s">
        <v>35</v>
      </c>
      <c r="G198" t="s">
        <v>35</v>
      </c>
      <c r="H198" t="s">
        <v>35</v>
      </c>
      <c r="I198" t="s">
        <v>35</v>
      </c>
      <c r="J198" t="s">
        <v>35</v>
      </c>
      <c r="K198" t="s">
        <v>35</v>
      </c>
      <c r="L198" t="s">
        <v>35</v>
      </c>
      <c r="M198" t="s">
        <v>35</v>
      </c>
      <c r="N198" t="s">
        <v>35</v>
      </c>
      <c r="O198" t="s">
        <v>35</v>
      </c>
      <c r="P198" t="s">
        <v>35</v>
      </c>
      <c r="Q198" t="s">
        <v>35</v>
      </c>
    </row>
    <row r="199" spans="1:17">
      <c r="A199" t="s">
        <v>73</v>
      </c>
      <c r="B199" t="s">
        <v>72</v>
      </c>
      <c r="C199">
        <v>4000</v>
      </c>
      <c r="D199">
        <v>4000</v>
      </c>
      <c r="E199">
        <v>4000</v>
      </c>
      <c r="F199" t="s">
        <v>35</v>
      </c>
      <c r="G199" t="s">
        <v>35</v>
      </c>
      <c r="H199" t="s">
        <v>35</v>
      </c>
      <c r="I199" t="s">
        <v>35</v>
      </c>
      <c r="J199" t="s">
        <v>35</v>
      </c>
      <c r="K199" t="s">
        <v>35</v>
      </c>
      <c r="L199" t="s">
        <v>35</v>
      </c>
      <c r="M199" t="s">
        <v>35</v>
      </c>
      <c r="N199" t="s">
        <v>35</v>
      </c>
      <c r="O199" t="s">
        <v>35</v>
      </c>
      <c r="P199" t="s">
        <v>35</v>
      </c>
      <c r="Q199" t="s">
        <v>35</v>
      </c>
    </row>
    <row r="200" spans="1:17">
      <c r="A200" t="s">
        <v>71</v>
      </c>
      <c r="B200" t="s">
        <v>70</v>
      </c>
      <c r="C200">
        <v>1000</v>
      </c>
      <c r="D200">
        <v>1000</v>
      </c>
      <c r="E200">
        <v>1000</v>
      </c>
      <c r="F200" t="s">
        <v>35</v>
      </c>
      <c r="G200" t="s">
        <v>35</v>
      </c>
      <c r="H200" t="s">
        <v>35</v>
      </c>
      <c r="I200" t="s">
        <v>35</v>
      </c>
      <c r="J200" t="s">
        <v>35</v>
      </c>
      <c r="K200" t="s">
        <v>35</v>
      </c>
      <c r="L200" t="s">
        <v>35</v>
      </c>
      <c r="M200" t="s">
        <v>35</v>
      </c>
      <c r="N200" t="s">
        <v>35</v>
      </c>
      <c r="O200" t="s">
        <v>35</v>
      </c>
      <c r="P200" t="s">
        <v>35</v>
      </c>
      <c r="Q200" t="s">
        <v>35</v>
      </c>
    </row>
    <row r="201" spans="1:17">
      <c r="A201" t="s">
        <v>69</v>
      </c>
      <c r="B201" t="s">
        <v>68</v>
      </c>
      <c r="C201">
        <v>45000</v>
      </c>
      <c r="D201">
        <v>45000</v>
      </c>
      <c r="E201">
        <v>45000</v>
      </c>
      <c r="F201" t="s">
        <v>35</v>
      </c>
      <c r="G201" t="s">
        <v>35</v>
      </c>
      <c r="H201" t="s">
        <v>35</v>
      </c>
      <c r="I201" t="s">
        <v>35</v>
      </c>
      <c r="J201" t="s">
        <v>35</v>
      </c>
      <c r="K201" t="s">
        <v>35</v>
      </c>
      <c r="L201" t="s">
        <v>35</v>
      </c>
      <c r="M201" t="s">
        <v>35</v>
      </c>
      <c r="N201" t="s">
        <v>35</v>
      </c>
      <c r="O201" t="s">
        <v>35</v>
      </c>
      <c r="P201" t="s">
        <v>35</v>
      </c>
      <c r="Q201" t="s">
        <v>35</v>
      </c>
    </row>
    <row r="202" spans="1:17">
      <c r="A202" t="s">
        <v>67</v>
      </c>
      <c r="B202" t="s">
        <v>66</v>
      </c>
      <c r="C202">
        <v>1575</v>
      </c>
      <c r="D202">
        <v>1575</v>
      </c>
      <c r="E202">
        <v>1575</v>
      </c>
      <c r="F202" t="s">
        <v>35</v>
      </c>
      <c r="G202" t="s">
        <v>35</v>
      </c>
      <c r="H202" t="s">
        <v>35</v>
      </c>
      <c r="I202" t="s">
        <v>35</v>
      </c>
      <c r="J202" t="s">
        <v>35</v>
      </c>
      <c r="K202" t="s">
        <v>35</v>
      </c>
      <c r="L202" t="s">
        <v>35</v>
      </c>
      <c r="M202" t="s">
        <v>35</v>
      </c>
      <c r="N202" t="s">
        <v>35</v>
      </c>
      <c r="O202" t="s">
        <v>35</v>
      </c>
      <c r="P202" t="s">
        <v>35</v>
      </c>
      <c r="Q202" t="s">
        <v>35</v>
      </c>
    </row>
    <row r="203" spans="1:17">
      <c r="A203" t="s">
        <v>65</v>
      </c>
      <c r="B203" t="s">
        <v>64</v>
      </c>
      <c r="C203">
        <v>900</v>
      </c>
      <c r="D203">
        <v>900</v>
      </c>
      <c r="E203">
        <v>900</v>
      </c>
      <c r="F203" t="s">
        <v>35</v>
      </c>
      <c r="G203" t="s">
        <v>35</v>
      </c>
      <c r="H203" t="s">
        <v>35</v>
      </c>
      <c r="I203" t="s">
        <v>35</v>
      </c>
      <c r="J203" t="s">
        <v>35</v>
      </c>
      <c r="K203" t="s">
        <v>35</v>
      </c>
      <c r="L203" t="s">
        <v>35</v>
      </c>
      <c r="M203" t="s">
        <v>35</v>
      </c>
      <c r="N203" t="s">
        <v>35</v>
      </c>
      <c r="O203" t="s">
        <v>35</v>
      </c>
      <c r="P203" t="s">
        <v>35</v>
      </c>
      <c r="Q203" t="s">
        <v>35</v>
      </c>
    </row>
    <row r="204" spans="1:17">
      <c r="A204" t="s">
        <v>63</v>
      </c>
      <c r="B204" t="s">
        <v>62</v>
      </c>
      <c r="C204">
        <v>1300</v>
      </c>
      <c r="D204">
        <v>1300</v>
      </c>
      <c r="E204">
        <v>1300</v>
      </c>
      <c r="F204" t="s">
        <v>35</v>
      </c>
      <c r="G204" t="s">
        <v>35</v>
      </c>
      <c r="H204" t="s">
        <v>35</v>
      </c>
      <c r="I204" t="s">
        <v>35</v>
      </c>
      <c r="J204" t="s">
        <v>35</v>
      </c>
      <c r="K204" t="s">
        <v>35</v>
      </c>
      <c r="L204" t="s">
        <v>35</v>
      </c>
      <c r="M204" t="s">
        <v>35</v>
      </c>
      <c r="N204" t="s">
        <v>35</v>
      </c>
      <c r="O204" t="s">
        <v>35</v>
      </c>
      <c r="P204" t="s">
        <v>35</v>
      </c>
      <c r="Q204" t="s">
        <v>35</v>
      </c>
    </row>
    <row r="205" spans="1:17">
      <c r="A205" t="s">
        <v>61</v>
      </c>
      <c r="B205" t="s">
        <v>60</v>
      </c>
      <c r="C205">
        <v>1400</v>
      </c>
      <c r="D205">
        <v>1400</v>
      </c>
      <c r="E205">
        <v>1400</v>
      </c>
      <c r="F205" t="s">
        <v>35</v>
      </c>
      <c r="G205" t="s">
        <v>35</v>
      </c>
      <c r="H205" t="s">
        <v>35</v>
      </c>
      <c r="I205" t="s">
        <v>35</v>
      </c>
      <c r="J205" t="s">
        <v>35</v>
      </c>
      <c r="K205" t="s">
        <v>35</v>
      </c>
      <c r="L205" t="s">
        <v>35</v>
      </c>
      <c r="M205" t="s">
        <v>35</v>
      </c>
      <c r="N205" t="s">
        <v>35</v>
      </c>
      <c r="O205" t="s">
        <v>35</v>
      </c>
      <c r="P205" t="s">
        <v>35</v>
      </c>
      <c r="Q205" t="s">
        <v>35</v>
      </c>
    </row>
    <row r="206" spans="1:17">
      <c r="A206" t="s">
        <v>59</v>
      </c>
      <c r="B206" t="s">
        <v>58</v>
      </c>
      <c r="C206">
        <v>1100</v>
      </c>
      <c r="D206">
        <v>1100</v>
      </c>
      <c r="E206">
        <v>1100</v>
      </c>
      <c r="F206" t="s">
        <v>35</v>
      </c>
      <c r="G206" t="s">
        <v>35</v>
      </c>
      <c r="H206" t="s">
        <v>35</v>
      </c>
      <c r="I206" t="s">
        <v>35</v>
      </c>
      <c r="J206" t="s">
        <v>35</v>
      </c>
      <c r="K206" t="s">
        <v>35</v>
      </c>
      <c r="L206" t="s">
        <v>35</v>
      </c>
      <c r="M206" t="s">
        <v>35</v>
      </c>
      <c r="N206" t="s">
        <v>35</v>
      </c>
      <c r="O206" t="s">
        <v>35</v>
      </c>
      <c r="P206" t="s">
        <v>35</v>
      </c>
      <c r="Q206" t="s">
        <v>35</v>
      </c>
    </row>
    <row r="207" spans="1:17">
      <c r="A207" t="s">
        <v>57</v>
      </c>
      <c r="B207" t="s">
        <v>56</v>
      </c>
      <c r="C207">
        <v>600</v>
      </c>
      <c r="D207">
        <v>600</v>
      </c>
      <c r="E207">
        <v>600</v>
      </c>
      <c r="F207" t="s">
        <v>35</v>
      </c>
      <c r="G207" t="s">
        <v>35</v>
      </c>
      <c r="H207" t="s">
        <v>35</v>
      </c>
      <c r="I207" t="s">
        <v>35</v>
      </c>
      <c r="J207" t="s">
        <v>35</v>
      </c>
      <c r="K207" t="s">
        <v>35</v>
      </c>
      <c r="L207" t="s">
        <v>35</v>
      </c>
      <c r="M207" t="s">
        <v>35</v>
      </c>
      <c r="N207" t="s">
        <v>35</v>
      </c>
      <c r="O207" t="s">
        <v>35</v>
      </c>
      <c r="P207" t="s">
        <v>35</v>
      </c>
      <c r="Q207" t="s">
        <v>35</v>
      </c>
    </row>
    <row r="208" spans="1:17">
      <c r="A208" t="s">
        <v>55</v>
      </c>
      <c r="B208" t="s">
        <v>54</v>
      </c>
      <c r="C208">
        <v>1000</v>
      </c>
      <c r="D208">
        <v>1000</v>
      </c>
      <c r="E208">
        <v>1000</v>
      </c>
      <c r="F208" t="s">
        <v>35</v>
      </c>
      <c r="G208" t="s">
        <v>35</v>
      </c>
      <c r="H208" t="s">
        <v>35</v>
      </c>
      <c r="I208" t="s">
        <v>35</v>
      </c>
      <c r="J208" t="s">
        <v>35</v>
      </c>
      <c r="K208" t="s">
        <v>35</v>
      </c>
      <c r="L208" t="s">
        <v>35</v>
      </c>
      <c r="M208" t="s">
        <v>35</v>
      </c>
      <c r="N208" t="s">
        <v>35</v>
      </c>
      <c r="O208" t="s">
        <v>35</v>
      </c>
      <c r="P208" t="s">
        <v>35</v>
      </c>
      <c r="Q208" t="s">
        <v>35</v>
      </c>
    </row>
    <row r="209" spans="1:17">
      <c r="A209" t="s">
        <v>53</v>
      </c>
      <c r="B209" t="s">
        <v>52</v>
      </c>
      <c r="C209">
        <v>1500</v>
      </c>
      <c r="D209">
        <v>1500</v>
      </c>
      <c r="E209">
        <v>1500</v>
      </c>
      <c r="F209" t="s">
        <v>35</v>
      </c>
      <c r="G209" t="s">
        <v>35</v>
      </c>
      <c r="H209" t="s">
        <v>35</v>
      </c>
      <c r="I209" t="s">
        <v>35</v>
      </c>
      <c r="J209" t="s">
        <v>35</v>
      </c>
      <c r="K209" t="s">
        <v>35</v>
      </c>
      <c r="L209" t="s">
        <v>35</v>
      </c>
      <c r="M209" t="s">
        <v>35</v>
      </c>
      <c r="N209" t="s">
        <v>35</v>
      </c>
      <c r="O209" t="s">
        <v>35</v>
      </c>
      <c r="P209" t="s">
        <v>35</v>
      </c>
      <c r="Q209" t="s">
        <v>35</v>
      </c>
    </row>
    <row r="210" spans="1:17">
      <c r="A210" t="s">
        <v>51</v>
      </c>
      <c r="B210" t="s">
        <v>50</v>
      </c>
      <c r="C210">
        <v>1250</v>
      </c>
      <c r="D210">
        <v>1250</v>
      </c>
      <c r="E210">
        <v>1250</v>
      </c>
      <c r="F210" t="s">
        <v>35</v>
      </c>
      <c r="G210" t="s">
        <v>35</v>
      </c>
      <c r="H210" t="s">
        <v>35</v>
      </c>
      <c r="I210" t="s">
        <v>35</v>
      </c>
      <c r="J210" t="s">
        <v>35</v>
      </c>
      <c r="K210" t="s">
        <v>35</v>
      </c>
      <c r="L210" t="s">
        <v>35</v>
      </c>
      <c r="M210" t="s">
        <v>35</v>
      </c>
      <c r="N210" t="s">
        <v>35</v>
      </c>
      <c r="O210" t="s">
        <v>35</v>
      </c>
      <c r="P210" t="s">
        <v>35</v>
      </c>
      <c r="Q210" t="s">
        <v>35</v>
      </c>
    </row>
    <row r="211" spans="1:17">
      <c r="A211" t="s">
        <v>49</v>
      </c>
      <c r="B211" t="s">
        <v>48</v>
      </c>
      <c r="C211">
        <v>500</v>
      </c>
      <c r="D211">
        <v>500</v>
      </c>
      <c r="E211">
        <v>500</v>
      </c>
      <c r="F211" t="s">
        <v>35</v>
      </c>
      <c r="G211" t="s">
        <v>35</v>
      </c>
      <c r="H211" t="s">
        <v>35</v>
      </c>
      <c r="I211" t="s">
        <v>35</v>
      </c>
      <c r="J211" t="s">
        <v>35</v>
      </c>
      <c r="K211" t="s">
        <v>35</v>
      </c>
      <c r="L211" t="s">
        <v>35</v>
      </c>
      <c r="M211" t="s">
        <v>35</v>
      </c>
      <c r="N211" t="s">
        <v>35</v>
      </c>
      <c r="O211" t="s">
        <v>35</v>
      </c>
      <c r="P211" t="s">
        <v>35</v>
      </c>
      <c r="Q211" t="s">
        <v>35</v>
      </c>
    </row>
    <row r="212" spans="1:17">
      <c r="A212" t="s">
        <v>47</v>
      </c>
      <c r="B212" t="s">
        <v>46</v>
      </c>
      <c r="C212">
        <v>34000</v>
      </c>
      <c r="D212">
        <v>34000</v>
      </c>
      <c r="E212">
        <v>34000</v>
      </c>
      <c r="F212" t="s">
        <v>35</v>
      </c>
      <c r="G212" t="s">
        <v>35</v>
      </c>
      <c r="H212" t="s">
        <v>35</v>
      </c>
      <c r="I212" t="s">
        <v>35</v>
      </c>
      <c r="J212" t="s">
        <v>35</v>
      </c>
      <c r="K212" t="s">
        <v>35</v>
      </c>
      <c r="L212" t="s">
        <v>35</v>
      </c>
      <c r="M212" t="s">
        <v>35</v>
      </c>
      <c r="N212" t="s">
        <v>35</v>
      </c>
      <c r="O212" t="s">
        <v>35</v>
      </c>
      <c r="P212" t="s">
        <v>35</v>
      </c>
      <c r="Q212" t="s">
        <v>35</v>
      </c>
    </row>
    <row r="213" spans="1:17">
      <c r="A213" t="s">
        <v>45</v>
      </c>
      <c r="B213" t="s">
        <v>44</v>
      </c>
      <c r="C213">
        <v>27000</v>
      </c>
      <c r="D213">
        <v>27000</v>
      </c>
      <c r="E213">
        <v>27000</v>
      </c>
      <c r="F213" t="s">
        <v>35</v>
      </c>
      <c r="G213" t="s">
        <v>35</v>
      </c>
      <c r="H213" t="s">
        <v>35</v>
      </c>
      <c r="I213" t="s">
        <v>35</v>
      </c>
      <c r="J213" t="s">
        <v>35</v>
      </c>
      <c r="K213" t="s">
        <v>35</v>
      </c>
      <c r="L213" t="s">
        <v>35</v>
      </c>
      <c r="M213" t="s">
        <v>35</v>
      </c>
      <c r="N213" t="s">
        <v>35</v>
      </c>
      <c r="O213" t="s">
        <v>35</v>
      </c>
      <c r="P213" t="s">
        <v>35</v>
      </c>
      <c r="Q213" t="s">
        <v>35</v>
      </c>
    </row>
    <row r="214" spans="1:17">
      <c r="A214" t="s">
        <v>43</v>
      </c>
      <c r="B214" t="s">
        <v>42</v>
      </c>
      <c r="C214">
        <v>25000</v>
      </c>
      <c r="D214">
        <v>25000</v>
      </c>
      <c r="E214">
        <v>25000</v>
      </c>
      <c r="F214" t="s">
        <v>35</v>
      </c>
      <c r="G214" t="s">
        <v>35</v>
      </c>
      <c r="H214" t="s">
        <v>35</v>
      </c>
      <c r="I214" t="s">
        <v>35</v>
      </c>
      <c r="J214" t="s">
        <v>35</v>
      </c>
      <c r="K214" t="s">
        <v>35</v>
      </c>
      <c r="L214" t="s">
        <v>35</v>
      </c>
      <c r="M214" t="s">
        <v>35</v>
      </c>
      <c r="N214" t="s">
        <v>35</v>
      </c>
      <c r="O214" t="s">
        <v>35</v>
      </c>
      <c r="P214" t="s">
        <v>35</v>
      </c>
      <c r="Q214" t="s">
        <v>35</v>
      </c>
    </row>
    <row r="215" spans="1:17">
      <c r="A215" t="s">
        <v>41</v>
      </c>
      <c r="B215" t="s">
        <v>40</v>
      </c>
      <c r="C215">
        <v>1500</v>
      </c>
      <c r="D215">
        <v>1500</v>
      </c>
      <c r="E215">
        <v>1500</v>
      </c>
      <c r="F215" t="s">
        <v>35</v>
      </c>
      <c r="G215" t="s">
        <v>35</v>
      </c>
      <c r="H215" t="s">
        <v>35</v>
      </c>
      <c r="I215" t="s">
        <v>35</v>
      </c>
      <c r="J215" t="s">
        <v>35</v>
      </c>
      <c r="K215" t="s">
        <v>35</v>
      </c>
      <c r="L215" t="s">
        <v>35</v>
      </c>
      <c r="M215" t="s">
        <v>35</v>
      </c>
      <c r="N215" t="s">
        <v>35</v>
      </c>
      <c r="O215" t="s">
        <v>35</v>
      </c>
      <c r="P215" t="s">
        <v>35</v>
      </c>
      <c r="Q215" t="s">
        <v>35</v>
      </c>
    </row>
    <row r="216" spans="1:17">
      <c r="A216" t="s">
        <v>39</v>
      </c>
      <c r="B216" t="s">
        <v>38</v>
      </c>
      <c r="C216">
        <v>33141</v>
      </c>
      <c r="D216">
        <v>33141</v>
      </c>
      <c r="E216">
        <v>33141</v>
      </c>
      <c r="F216" t="s">
        <v>35</v>
      </c>
      <c r="G216" t="s">
        <v>35</v>
      </c>
      <c r="H216" t="s">
        <v>35</v>
      </c>
      <c r="I216" t="s">
        <v>35</v>
      </c>
      <c r="J216" t="s">
        <v>35</v>
      </c>
      <c r="K216" t="s">
        <v>35</v>
      </c>
      <c r="L216" t="s">
        <v>35</v>
      </c>
      <c r="M216" t="s">
        <v>35</v>
      </c>
      <c r="N216" t="s">
        <v>35</v>
      </c>
      <c r="O216" t="s">
        <v>35</v>
      </c>
      <c r="P216" t="s">
        <v>35</v>
      </c>
      <c r="Q216" t="s">
        <v>35</v>
      </c>
    </row>
    <row r="217" spans="1:17">
      <c r="A217" t="s">
        <v>37</v>
      </c>
      <c r="B217" t="s">
        <v>36</v>
      </c>
      <c r="C217">
        <v>45000</v>
      </c>
      <c r="D217">
        <v>45000</v>
      </c>
      <c r="E217">
        <v>45000</v>
      </c>
      <c r="F217" t="s">
        <v>35</v>
      </c>
      <c r="G217" t="s">
        <v>35</v>
      </c>
      <c r="H217" t="s">
        <v>35</v>
      </c>
      <c r="I217" t="s">
        <v>35</v>
      </c>
      <c r="J217" t="s">
        <v>35</v>
      </c>
      <c r="K217" t="s">
        <v>35</v>
      </c>
      <c r="L217" t="s">
        <v>35</v>
      </c>
      <c r="M217" t="s">
        <v>35</v>
      </c>
      <c r="N217" t="s">
        <v>35</v>
      </c>
      <c r="O217" t="s">
        <v>35</v>
      </c>
      <c r="P217" t="s">
        <v>35</v>
      </c>
      <c r="Q217" t="s">
        <v>35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ToBeRead</vt:lpstr>
      <vt:lpstr>Levers</vt:lpstr>
      <vt:lpstr>Trade journal</vt:lpstr>
      <vt:lpstr>Dashboard</vt:lpstr>
      <vt:lpstr>Pictoral view</vt:lpstr>
      <vt:lpstr>fo_mktlots</vt:lpstr>
    </vt:vector>
  </TitlesOfParts>
  <Company>Trading desk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Pankaj DP</dc:creator>
  <cp:lastModifiedBy>Shraddha</cp:lastModifiedBy>
  <dcterms:created xsi:type="dcterms:W3CDTF">2014-01-15T15:55:27Z</dcterms:created>
  <dcterms:modified xsi:type="dcterms:W3CDTF">2018-09-22T12:49:30Z</dcterms:modified>
</cp:coreProperties>
</file>